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135" windowHeight="9240"/>
  </bookViews>
  <sheets>
    <sheet name="Levies  interest" sheetId="5" r:id="rId1"/>
    <sheet name="Reconciliation" sheetId="1" r:id="rId2"/>
    <sheet name="Diff in tons " sheetId="2" r:id="rId3"/>
    <sheet name="Sheet3" sheetId="3" r:id="rId4"/>
    <sheet name="levies  Balance" sheetId="4" r:id="rId5"/>
  </sheets>
  <calcPr calcId="125725"/>
</workbook>
</file>

<file path=xl/calcChain.xml><?xml version="1.0" encoding="utf-8"?>
<calcChain xmlns="http://schemas.openxmlformats.org/spreadsheetml/2006/main">
  <c r="D14" i="4"/>
  <c r="D12"/>
  <c r="B12"/>
  <c r="G14"/>
  <c r="E14"/>
  <c r="F7"/>
  <c r="H7"/>
  <c r="H9"/>
  <c r="H10"/>
  <c r="H11"/>
  <c r="H8"/>
  <c r="B45" i="5"/>
  <c r="F44"/>
  <c r="H44"/>
  <c r="F43"/>
  <c r="C44"/>
  <c r="E44"/>
  <c r="H43"/>
  <c r="C43"/>
  <c r="E43"/>
  <c r="F42"/>
  <c r="H42"/>
  <c r="C42"/>
  <c r="E42"/>
  <c r="F41"/>
  <c r="H41"/>
  <c r="C41"/>
  <c r="E41"/>
  <c r="F40"/>
  <c r="H40"/>
  <c r="C40"/>
  <c r="E40"/>
  <c r="F39"/>
  <c r="H39"/>
  <c r="C39"/>
  <c r="E39"/>
  <c r="F38"/>
  <c r="H38"/>
  <c r="C38"/>
  <c r="E38"/>
  <c r="G37"/>
  <c r="F37"/>
  <c r="H37"/>
  <c r="D37"/>
  <c r="C37"/>
  <c r="E37"/>
  <c r="G36"/>
  <c r="F36"/>
  <c r="H36"/>
  <c r="D36"/>
  <c r="C36"/>
  <c r="E36"/>
  <c r="G35"/>
  <c r="F35"/>
  <c r="H35"/>
  <c r="D35"/>
  <c r="C35"/>
  <c r="E35"/>
  <c r="F34"/>
  <c r="H34"/>
  <c r="C34"/>
  <c r="E34"/>
  <c r="F33"/>
  <c r="H33"/>
  <c r="C33"/>
  <c r="E33"/>
  <c r="F32"/>
  <c r="H32"/>
  <c r="C32"/>
  <c r="E32"/>
  <c r="G31"/>
  <c r="F31"/>
  <c r="H31"/>
  <c r="D31"/>
  <c r="C31"/>
  <c r="E31"/>
  <c r="F30"/>
  <c r="H30"/>
  <c r="C30"/>
  <c r="E30"/>
  <c r="G29"/>
  <c r="F29"/>
  <c r="H29"/>
  <c r="D29"/>
  <c r="C29"/>
  <c r="E29"/>
  <c r="F28"/>
  <c r="H28"/>
  <c r="C28"/>
  <c r="E28"/>
  <c r="G27"/>
  <c r="F27"/>
  <c r="H27"/>
  <c r="D27"/>
  <c r="E27"/>
  <c r="F26"/>
  <c r="H26"/>
  <c r="C26"/>
  <c r="E26"/>
  <c r="G25"/>
  <c r="F25"/>
  <c r="H25"/>
  <c r="D25"/>
  <c r="C25"/>
  <c r="E25"/>
  <c r="G24"/>
  <c r="F24"/>
  <c r="H24"/>
  <c r="D24"/>
  <c r="C24"/>
  <c r="E24"/>
  <c r="G23"/>
  <c r="F23"/>
  <c r="H23"/>
  <c r="D23"/>
  <c r="C23"/>
  <c r="E23"/>
  <c r="G22"/>
  <c r="F22"/>
  <c r="H22"/>
  <c r="D22"/>
  <c r="C22"/>
  <c r="E22"/>
  <c r="G21"/>
  <c r="F21"/>
  <c r="H21"/>
  <c r="D21"/>
  <c r="C21"/>
  <c r="E21"/>
  <c r="F20"/>
  <c r="H20"/>
  <c r="C20"/>
  <c r="E20"/>
  <c r="F19"/>
  <c r="H19"/>
  <c r="C19"/>
  <c r="E19"/>
  <c r="F18"/>
  <c r="H18"/>
  <c r="E18"/>
  <c r="F17"/>
  <c r="H17"/>
  <c r="C17"/>
  <c r="E17"/>
  <c r="F16"/>
  <c r="H16"/>
  <c r="C16"/>
  <c r="E16"/>
  <c r="F15"/>
  <c r="D15"/>
  <c r="D45"/>
  <c r="C15"/>
  <c r="E15"/>
  <c r="F14"/>
  <c r="H14"/>
  <c r="C14"/>
  <c r="E14"/>
  <c r="F13"/>
  <c r="H13"/>
  <c r="C13"/>
  <c r="E13"/>
  <c r="F12"/>
  <c r="H12"/>
  <c r="C12"/>
  <c r="E12"/>
  <c r="F11"/>
  <c r="H11"/>
  <c r="C11"/>
  <c r="E11"/>
  <c r="F10"/>
  <c r="H10"/>
  <c r="C10"/>
  <c r="E10"/>
  <c r="F9"/>
  <c r="H9"/>
  <c r="C9"/>
  <c r="E9"/>
  <c r="F8"/>
  <c r="F45"/>
  <c r="C8"/>
  <c r="C45"/>
  <c r="I41" i="1"/>
  <c r="H41"/>
  <c r="F41"/>
  <c r="E41"/>
  <c r="C41"/>
  <c r="F12" i="4"/>
  <c r="F14"/>
  <c r="D11"/>
  <c r="F11"/>
  <c r="D10"/>
  <c r="F10"/>
  <c r="D9"/>
  <c r="F9"/>
  <c r="D8"/>
  <c r="F8"/>
  <c r="B42" i="1"/>
  <c r="C6"/>
  <c r="C7"/>
  <c r="C8"/>
  <c r="C9"/>
  <c r="C10"/>
  <c r="C11"/>
  <c r="C12"/>
  <c r="C13"/>
  <c r="C14"/>
  <c r="C15"/>
  <c r="C17"/>
  <c r="C18"/>
  <c r="C19"/>
  <c r="C20"/>
  <c r="C21"/>
  <c r="C22"/>
  <c r="C23"/>
  <c r="C24"/>
  <c r="C26"/>
  <c r="C27"/>
  <c r="C28"/>
  <c r="C29"/>
  <c r="C30"/>
  <c r="C31"/>
  <c r="C32"/>
  <c r="C33"/>
  <c r="C34"/>
  <c r="C35"/>
  <c r="C36"/>
  <c r="C37"/>
  <c r="C38"/>
  <c r="C39"/>
  <c r="C40"/>
  <c r="C42"/>
  <c r="E40"/>
  <c r="F40"/>
  <c r="H40"/>
  <c r="E39"/>
  <c r="F39"/>
  <c r="H39"/>
  <c r="H76" i="3"/>
  <c r="H75"/>
  <c r="D85"/>
  <c r="H67"/>
  <c r="H66"/>
  <c r="E77"/>
  <c r="D75"/>
  <c r="D77"/>
  <c r="C7"/>
  <c r="E7"/>
  <c r="F7"/>
  <c r="H7"/>
  <c r="I7"/>
  <c r="C8"/>
  <c r="E8"/>
  <c r="F8"/>
  <c r="H8"/>
  <c r="I8"/>
  <c r="C9"/>
  <c r="E9"/>
  <c r="F9"/>
  <c r="H9"/>
  <c r="I9"/>
  <c r="C10"/>
  <c r="E10"/>
  <c r="F10"/>
  <c r="H10"/>
  <c r="I10"/>
  <c r="C11"/>
  <c r="E11"/>
  <c r="F11"/>
  <c r="H11"/>
  <c r="I11"/>
  <c r="C12"/>
  <c r="E12"/>
  <c r="F12"/>
  <c r="H12"/>
  <c r="I12"/>
  <c r="C13"/>
  <c r="E13"/>
  <c r="F13"/>
  <c r="H13"/>
  <c r="I13"/>
  <c r="C14"/>
  <c r="D14"/>
  <c r="E14"/>
  <c r="F14"/>
  <c r="G14"/>
  <c r="H14"/>
  <c r="I14"/>
  <c r="C15"/>
  <c r="E15"/>
  <c r="F15"/>
  <c r="H15"/>
  <c r="I15"/>
  <c r="C16"/>
  <c r="E16"/>
  <c r="F16"/>
  <c r="H16"/>
  <c r="I16"/>
  <c r="E17"/>
  <c r="F17"/>
  <c r="H17"/>
  <c r="I17"/>
  <c r="C18"/>
  <c r="E18"/>
  <c r="F18"/>
  <c r="H18"/>
  <c r="I18"/>
  <c r="C19"/>
  <c r="E19"/>
  <c r="F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E25"/>
  <c r="F25"/>
  <c r="H25"/>
  <c r="I25"/>
  <c r="D26"/>
  <c r="E26"/>
  <c r="F26"/>
  <c r="G26"/>
  <c r="H26"/>
  <c r="I26"/>
  <c r="C27"/>
  <c r="E27"/>
  <c r="F27"/>
  <c r="H27"/>
  <c r="I27"/>
  <c r="C28"/>
  <c r="D28"/>
  <c r="E28"/>
  <c r="F28"/>
  <c r="G28"/>
  <c r="H28"/>
  <c r="I28"/>
  <c r="C29"/>
  <c r="E29"/>
  <c r="F29"/>
  <c r="H29"/>
  <c r="I29"/>
  <c r="C30"/>
  <c r="D30"/>
  <c r="E30"/>
  <c r="F30"/>
  <c r="G30"/>
  <c r="H30"/>
  <c r="I30"/>
  <c r="C31"/>
  <c r="E31"/>
  <c r="F31"/>
  <c r="H31"/>
  <c r="I31"/>
  <c r="C32"/>
  <c r="E32"/>
  <c r="F32"/>
  <c r="H32"/>
  <c r="I32"/>
  <c r="C33"/>
  <c r="E33"/>
  <c r="F33"/>
  <c r="H33"/>
  <c r="I33"/>
  <c r="C34"/>
  <c r="D34"/>
  <c r="E34"/>
  <c r="F34"/>
  <c r="G34"/>
  <c r="H34"/>
  <c r="I34"/>
  <c r="C35"/>
  <c r="D35"/>
  <c r="E35"/>
  <c r="F35"/>
  <c r="G35"/>
  <c r="H35"/>
  <c r="I35"/>
  <c r="C36"/>
  <c r="D36"/>
  <c r="E36"/>
  <c r="F36"/>
  <c r="G36"/>
  <c r="H36"/>
  <c r="I36"/>
  <c r="C37"/>
  <c r="E37"/>
  <c r="F37"/>
  <c r="H37"/>
  <c r="I37"/>
  <c r="B39"/>
  <c r="C39"/>
  <c r="D39"/>
  <c r="E39"/>
  <c r="F39"/>
  <c r="G39"/>
  <c r="H39"/>
  <c r="D57"/>
  <c r="D58"/>
  <c r="D59"/>
  <c r="E64"/>
  <c r="D68"/>
  <c r="D69"/>
  <c r="D70"/>
  <c r="D71"/>
  <c r="C21" i="2"/>
  <c r="C13"/>
  <c r="D13"/>
  <c r="D72" i="1"/>
  <c r="D71"/>
  <c r="D7" i="2"/>
  <c r="F7"/>
  <c r="D8"/>
  <c r="F8"/>
  <c r="D9"/>
  <c r="F9"/>
  <c r="D10"/>
  <c r="F10"/>
  <c r="D11"/>
  <c r="F11"/>
  <c r="D12"/>
  <c r="F12"/>
  <c r="F13"/>
  <c r="D14"/>
  <c r="F14"/>
  <c r="D15"/>
  <c r="F15"/>
  <c r="D16"/>
  <c r="F16"/>
  <c r="B17"/>
  <c r="D17"/>
  <c r="F17"/>
  <c r="D18"/>
  <c r="F18"/>
  <c r="B19"/>
  <c r="C19"/>
  <c r="D19"/>
  <c r="F19"/>
  <c r="B20"/>
  <c r="D20"/>
  <c r="F20"/>
  <c r="B21"/>
  <c r="D21"/>
  <c r="D22"/>
  <c r="F22"/>
  <c r="D23"/>
  <c r="F23"/>
  <c r="D24"/>
  <c r="F24"/>
  <c r="C25"/>
  <c r="B25"/>
  <c r="D81" i="1"/>
  <c r="D27"/>
  <c r="D60"/>
  <c r="D61"/>
  <c r="D62"/>
  <c r="E67"/>
  <c r="D73"/>
  <c r="D74"/>
  <c r="D75"/>
  <c r="D78"/>
  <c r="D25"/>
  <c r="G23"/>
  <c r="D23"/>
  <c r="G20"/>
  <c r="D20"/>
  <c r="G21"/>
  <c r="D21"/>
  <c r="D13"/>
  <c r="G13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G19"/>
  <c r="H19"/>
  <c r="F20"/>
  <c r="H20"/>
  <c r="F21"/>
  <c r="H21"/>
  <c r="F22"/>
  <c r="G22"/>
  <c r="H22"/>
  <c r="F23"/>
  <c r="H23"/>
  <c r="F24"/>
  <c r="H24"/>
  <c r="F25"/>
  <c r="G25"/>
  <c r="H25"/>
  <c r="F26"/>
  <c r="H26"/>
  <c r="F27"/>
  <c r="G27"/>
  <c r="H27"/>
  <c r="F28"/>
  <c r="H28"/>
  <c r="F29"/>
  <c r="G29"/>
  <c r="H29"/>
  <c r="F30"/>
  <c r="H30"/>
  <c r="F31"/>
  <c r="H31"/>
  <c r="F32"/>
  <c r="H32"/>
  <c r="F33"/>
  <c r="G33"/>
  <c r="H33"/>
  <c r="F34"/>
  <c r="G34"/>
  <c r="H34"/>
  <c r="F35"/>
  <c r="G35"/>
  <c r="H35"/>
  <c r="F36"/>
  <c r="H36"/>
  <c r="F37"/>
  <c r="H37"/>
  <c r="F38"/>
  <c r="H38"/>
  <c r="H42"/>
  <c r="E6"/>
  <c r="E7"/>
  <c r="E8"/>
  <c r="E9"/>
  <c r="E10"/>
  <c r="E11"/>
  <c r="E12"/>
  <c r="E13"/>
  <c r="E14"/>
  <c r="E15"/>
  <c r="E16"/>
  <c r="E17"/>
  <c r="E18"/>
  <c r="D19"/>
  <c r="E19"/>
  <c r="E20"/>
  <c r="E21"/>
  <c r="D22"/>
  <c r="E22"/>
  <c r="E23"/>
  <c r="E24"/>
  <c r="E25"/>
  <c r="E26"/>
  <c r="E27"/>
  <c r="E28"/>
  <c r="D29"/>
  <c r="E29"/>
  <c r="E30"/>
  <c r="E31"/>
  <c r="E32"/>
  <c r="D33"/>
  <c r="E33"/>
  <c r="D34"/>
  <c r="E34"/>
  <c r="D35"/>
  <c r="E35"/>
  <c r="E36"/>
  <c r="E37"/>
  <c r="E38"/>
  <c r="I6"/>
  <c r="I7"/>
  <c r="I8"/>
  <c r="I9"/>
  <c r="I10"/>
  <c r="I11"/>
  <c r="I12"/>
  <c r="I13"/>
  <c r="I14"/>
  <c r="I15"/>
  <c r="I16"/>
  <c r="I17"/>
  <c r="I18"/>
  <c r="I19"/>
  <c r="D42"/>
  <c r="G42"/>
  <c r="F42"/>
  <c r="O25"/>
  <c r="E42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E80" i="3"/>
  <c r="F21" i="2"/>
  <c r="D25"/>
  <c r="F25"/>
  <c r="E81" i="1"/>
  <c r="E84"/>
  <c r="E89"/>
  <c r="E8" i="5"/>
  <c r="E45"/>
  <c r="H8"/>
  <c r="H45"/>
  <c r="G15"/>
  <c r="G45"/>
  <c r="I8"/>
  <c r="J8"/>
  <c r="J45"/>
  <c r="H15"/>
  <c r="I9"/>
  <c r="J9"/>
  <c r="K9"/>
  <c r="I10"/>
  <c r="I11"/>
  <c r="J10"/>
  <c r="K10"/>
  <c r="I12"/>
  <c r="J11"/>
  <c r="K11"/>
  <c r="I13"/>
  <c r="J12"/>
  <c r="K12"/>
  <c r="I14"/>
  <c r="J13"/>
  <c r="K13"/>
  <c r="J14"/>
  <c r="K14"/>
  <c r="I15"/>
  <c r="I16"/>
  <c r="J15"/>
  <c r="K15"/>
  <c r="I17"/>
  <c r="J16"/>
  <c r="K16"/>
  <c r="I18"/>
  <c r="I19"/>
  <c r="I20"/>
  <c r="I21"/>
  <c r="I22"/>
  <c r="J17"/>
  <c r="K17"/>
  <c r="I23"/>
  <c r="J22"/>
  <c r="K22"/>
  <c r="I24"/>
  <c r="I25"/>
  <c r="J23"/>
  <c r="K23"/>
  <c r="I26"/>
  <c r="I27"/>
  <c r="I28"/>
  <c r="I29"/>
  <c r="J25"/>
  <c r="K25"/>
  <c r="I30"/>
  <c r="I31"/>
  <c r="I32"/>
  <c r="I33"/>
  <c r="I34"/>
  <c r="J29"/>
  <c r="K29"/>
  <c r="I35"/>
  <c r="I36"/>
  <c r="I37"/>
  <c r="I38"/>
  <c r="J34"/>
  <c r="K34"/>
  <c r="I39"/>
  <c r="J38"/>
  <c r="K38"/>
  <c r="I40"/>
  <c r="J39"/>
  <c r="K39"/>
  <c r="I41"/>
  <c r="J40"/>
  <c r="K40"/>
  <c r="I42"/>
  <c r="J41"/>
  <c r="K41"/>
  <c r="J42"/>
  <c r="K42"/>
  <c r="K8"/>
  <c r="K45"/>
  <c r="I43"/>
  <c r="I44"/>
  <c r="H12" i="4"/>
</calcChain>
</file>

<file path=xl/sharedStrings.xml><?xml version="1.0" encoding="utf-8"?>
<sst xmlns="http://schemas.openxmlformats.org/spreadsheetml/2006/main" count="275" uniqueCount="139">
  <si>
    <t xml:space="preserve">Guyana Sugar  Corporation  Inc  </t>
  </si>
  <si>
    <t xml:space="preserve">SILWFC </t>
  </si>
  <si>
    <t xml:space="preserve">Year  </t>
  </si>
  <si>
    <t>Tonage</t>
  </si>
  <si>
    <t xml:space="preserve">Shipped  </t>
  </si>
  <si>
    <t xml:space="preserve">Payment </t>
  </si>
  <si>
    <t xml:space="preserve">Balance  </t>
  </si>
  <si>
    <t xml:space="preserve">Amount  </t>
  </si>
  <si>
    <t xml:space="preserve">Due  </t>
  </si>
  <si>
    <t xml:space="preserve">Levies  </t>
  </si>
  <si>
    <t xml:space="preserve">Price stabilisation  &amp;Rehabilitation  </t>
  </si>
  <si>
    <t xml:space="preserve">Total  </t>
  </si>
  <si>
    <t>Less : paid  21/3/05</t>
  </si>
  <si>
    <t xml:space="preserve">          paid  21/4/05</t>
  </si>
  <si>
    <t>May -Oct 2005</t>
  </si>
  <si>
    <t>Nov-Dec 2005</t>
  </si>
  <si>
    <t>Jan- May  2007</t>
  </si>
  <si>
    <t>June-December 2007</t>
  </si>
  <si>
    <t>Jan-May  2008</t>
  </si>
  <si>
    <t>Less  Paid  12/3/2008</t>
  </si>
  <si>
    <t>Less  Paid  07/08/2008</t>
  </si>
  <si>
    <t>Jan-Sept 2009</t>
  </si>
  <si>
    <t>Less  Paid  22/05/2009</t>
  </si>
  <si>
    <t>Less  Paid  13/08/2009</t>
  </si>
  <si>
    <t>Less  Paid  09/09/2009</t>
  </si>
  <si>
    <t>Oct-Dec 2009</t>
  </si>
  <si>
    <t>Jan-Dec 2010</t>
  </si>
  <si>
    <t>Jan-Dec 2011</t>
  </si>
  <si>
    <t>Jan-Dec 2012</t>
  </si>
  <si>
    <t>June-Dec 2008</t>
  </si>
  <si>
    <t xml:space="preserve">Balance  as  per  SILWFC  levies  account  </t>
  </si>
  <si>
    <t>Add:</t>
  </si>
  <si>
    <t>Less:</t>
  </si>
  <si>
    <t xml:space="preserve">1995 Levies  not  accounted  in SILWFC  books  </t>
  </si>
  <si>
    <t xml:space="preserve">1996 Levies  under stated   in SILWFC  books  </t>
  </si>
  <si>
    <t xml:space="preserve">1997 Levies  Over stated   in SILWFC  books  </t>
  </si>
  <si>
    <t xml:space="preserve">1998 Levies  under stated   in SILWFC  books  </t>
  </si>
  <si>
    <t xml:space="preserve">1999 Levies  Over stated   in SILWFC  books  </t>
  </si>
  <si>
    <t xml:space="preserve">2000 Levies  Over stated   in SILWFC  books  </t>
  </si>
  <si>
    <t xml:space="preserve">2001 Levies  Over stated   in SILWFC  books  </t>
  </si>
  <si>
    <t xml:space="preserve">2002 Levies  under stated   in SILWFC  books  </t>
  </si>
  <si>
    <t xml:space="preserve">2003 Levies  under stated   in SILWFC  books  </t>
  </si>
  <si>
    <t xml:space="preserve">2004 Levies  under stated   in SILWFC  books  </t>
  </si>
  <si>
    <t xml:space="preserve">2005 Levies  under stated   in SILWFC  books  </t>
  </si>
  <si>
    <t xml:space="preserve">2006 Levies  Over stated   in SILWFC  books  </t>
  </si>
  <si>
    <t xml:space="preserve">2007 Levies  under stated   in SILWFC  books  </t>
  </si>
  <si>
    <t xml:space="preserve">2008 Levies  under stated   in SILWFC  books  </t>
  </si>
  <si>
    <t xml:space="preserve">2009 Levies  under stated   in SILWFC  books  </t>
  </si>
  <si>
    <t xml:space="preserve">2010 Levies  Over stated   in SILWFC  books  </t>
  </si>
  <si>
    <t xml:space="preserve">2012 Levies  Over stated   in SILWFC  books  </t>
  </si>
  <si>
    <t xml:space="preserve">audit adjustment  for  2004 b/f  figures  </t>
  </si>
  <si>
    <t xml:space="preserve">Balance as  per  GUYSUCO Statement  </t>
  </si>
  <si>
    <t xml:space="preserve">Account  Reconciliation </t>
  </si>
  <si>
    <t>SILWFC</t>
  </si>
  <si>
    <t xml:space="preserve">Levies </t>
  </si>
  <si>
    <r>
      <t xml:space="preserve">dated December 2, 2005 via DBL Cheque number </t>
    </r>
    <r>
      <rPr>
        <b/>
        <sz val="11"/>
        <rFont val="Arial"/>
        <family val="2"/>
      </rPr>
      <t>0002026.</t>
    </r>
  </si>
  <si>
    <r>
      <t>dated 28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July 2008 via DBL Cheque number </t>
    </r>
    <r>
      <rPr>
        <b/>
        <sz val="11"/>
        <rFont val="Arial"/>
        <family val="2"/>
      </rPr>
      <t>0011689.</t>
    </r>
  </si>
  <si>
    <t xml:space="preserve">Rounding  error  </t>
  </si>
  <si>
    <t>Schedule  1</t>
  </si>
  <si>
    <t>Schedule 2</t>
  </si>
  <si>
    <t>Less  Paid  03/03/2010</t>
  </si>
  <si>
    <t>Less  Paid  18/03/2010</t>
  </si>
  <si>
    <t>Less  Paid  14/05/2010</t>
  </si>
  <si>
    <t>Year</t>
  </si>
  <si>
    <t>Diffrence(Ton)</t>
  </si>
  <si>
    <t xml:space="preserve">Exports </t>
  </si>
  <si>
    <t>Schedule 1995 to  2012</t>
  </si>
  <si>
    <t xml:space="preserve">Tonnage  Exported </t>
  </si>
  <si>
    <t xml:space="preserve">GUYSUCO Records </t>
  </si>
  <si>
    <t>SILWFC Records</t>
  </si>
  <si>
    <t>Diffrence($)</t>
  </si>
  <si>
    <t xml:space="preserve">Remarks </t>
  </si>
  <si>
    <t>Adjustment  made  by  Auditors</t>
  </si>
  <si>
    <t xml:space="preserve">Arithmetical  error when  computing  levies  total  </t>
  </si>
  <si>
    <t>Amount  of  Sugar  Exported   for 1995 (53291.94 tons  @500)Not  recorded in  SILWFC</t>
  </si>
  <si>
    <t>GUYSUCO records  show  more sugar  exported  against SILWFC  by(1.24 ton @500)</t>
  </si>
  <si>
    <t>GUYSUCO records  show  more sugar  exported  against SILWFC  by(934 tons @500)</t>
  </si>
  <si>
    <t>GUYSUCO records  show  more sugar  exported  against SILWFC  by(10.25 tons @500)</t>
  </si>
  <si>
    <t>GUYSUCO records  show  more sugar  exported  against SILWFC by(19 tons @500)</t>
  </si>
  <si>
    <t>GUYSUCO  show  more sugar  exported  against SILWFC by(67.138 tons @500)</t>
  </si>
  <si>
    <t>GUYSUCO records  show  more sugar  exported  against SILWFC  by(0.34 ton @500)</t>
  </si>
  <si>
    <t>GUYSUCO records  show  more sugar  exported  against SILWFC by(0.018 ton @500)</t>
  </si>
  <si>
    <t>GUYSUCO records  show  less sugar  exported  against SILWFC  by(0.64 ton @500)</t>
  </si>
  <si>
    <t>GUYSUCO records  show  less sugar  exported  against SILWFC  by(2.22 tons @500)</t>
  </si>
  <si>
    <t>GUYSUCO records  show  less sugar  exported  against SILWFC  by(0.83 ton @500)</t>
  </si>
  <si>
    <t>GUYSUCO records  show  less sugar  exported  against  SILWFC by(183.13 tons @500)</t>
  </si>
  <si>
    <t>GUYSUCO records  show  less sugar  exported  against SILWFC  by(2024.2 tons @500)</t>
  </si>
  <si>
    <t>GUYSUCO records  show  less sugar  exported  against SILWFC  by(0.044 ton @500)</t>
  </si>
  <si>
    <t>GUYSUCO records  show  less sugar  exported  against SILWFC  by( 0.004ton @500)</t>
  </si>
  <si>
    <t>Rate  Per Ton</t>
  </si>
  <si>
    <t>$</t>
  </si>
  <si>
    <t xml:space="preserve"> levies that was paid  to  MOF:</t>
  </si>
  <si>
    <t>Overpayment  of Levies in 2005</t>
  </si>
  <si>
    <t xml:space="preserve">Price stabilization  &amp;Rehabilitation  </t>
  </si>
  <si>
    <t xml:space="preserve">audit adjustment  for  2004 buff  figures  </t>
  </si>
  <si>
    <t>Adjustment  made  by  Auditors(2004)difference between  levies ledger and GL</t>
  </si>
  <si>
    <t>Prepare by:………………………………………………………….</t>
  </si>
  <si>
    <t xml:space="preserve">                      Accountant</t>
  </si>
  <si>
    <t xml:space="preserve">GUYSUCO records  show  less sugar  exported  against SILWFC  </t>
  </si>
  <si>
    <t>Jan-December 2013</t>
  </si>
  <si>
    <t>Jan-December 2014</t>
  </si>
  <si>
    <t>Outstanding  Levies</t>
  </si>
  <si>
    <t>Balance as  per  GUYSUCO Statement  as at 31 December  2012</t>
  </si>
  <si>
    <t>Balance  of levies  as  at  31 December  2014</t>
  </si>
  <si>
    <t>Prepared by:…………………………..</t>
  </si>
  <si>
    <t>Sugar  Exported  for  2013(162,371.058@500)</t>
  </si>
  <si>
    <t>Sugar  Exported  for  2014(186,135.976@500)</t>
  </si>
  <si>
    <t xml:space="preserve">                      Accountant </t>
  </si>
  <si>
    <t>Levies  rate</t>
  </si>
  <si>
    <t xml:space="preserve">Amount  due </t>
  </si>
  <si>
    <t>Amount  paid</t>
  </si>
  <si>
    <t>Balance due</t>
  </si>
  <si>
    <t xml:space="preserve">Total  amount </t>
  </si>
  <si>
    <t>Levies  Schedule</t>
  </si>
  <si>
    <t xml:space="preserve">Interest  due  </t>
  </si>
  <si>
    <t>January to  May 2015</t>
  </si>
  <si>
    <t>Interest</t>
  </si>
  <si>
    <t xml:space="preserve">Notes  </t>
  </si>
  <si>
    <t>Prepare by:___________________________</t>
  </si>
  <si>
    <t xml:space="preserve">                          Accountant</t>
  </si>
  <si>
    <t>Interest  on  levies  is  charge  at  6% per  annum  on  the  outstanding balance in  accordance with</t>
  </si>
  <si>
    <t xml:space="preserve">The  Sugar  industry  labour  fund act  Chapter  69.03 section 5(3). </t>
  </si>
  <si>
    <t>The  amount  of  interest  due to  SILWFC is computed as (500/514.5)*100 which   represent 97.18 %.</t>
  </si>
  <si>
    <t>Exported</t>
  </si>
  <si>
    <t>June  to  July  2015</t>
  </si>
  <si>
    <t xml:space="preserve">Tonnage Export </t>
  </si>
  <si>
    <t>Due  ($)</t>
  </si>
  <si>
    <t>($)</t>
  </si>
  <si>
    <t>Total  ($)</t>
  </si>
  <si>
    <t>Outstanding  Levies - 1/1/1995 to 31/5/2015</t>
  </si>
  <si>
    <t>Interest($)- 97.18%</t>
  </si>
  <si>
    <t>Totals</t>
  </si>
  <si>
    <t>Opening balance(adjusted)1995 to 2010</t>
  </si>
  <si>
    <t>Total</t>
  </si>
  <si>
    <t>January  to  July  2015</t>
  </si>
  <si>
    <t>Outstanding Interest on Levies - 1/1/1995 to 31/5/2015</t>
  </si>
  <si>
    <t xml:space="preserve">THE SUGAR INDUSTRY  LABOUR  WELFARE FUND </t>
  </si>
  <si>
    <t>Annex 2</t>
  </si>
  <si>
    <t>SILWF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</si>
</sst>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15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3" fillId="0" borderId="0" xfId="0" applyFont="1"/>
    <xf numFmtId="169" fontId="0" fillId="0" borderId="2" xfId="1" applyNumberFormat="1" applyFont="1" applyBorder="1"/>
    <xf numFmtId="169" fontId="0" fillId="0" borderId="2" xfId="0" applyNumberFormat="1" applyBorder="1"/>
    <xf numFmtId="169" fontId="0" fillId="0" borderId="1" xfId="1" applyNumberFormat="1" applyFont="1" applyBorder="1"/>
    <xf numFmtId="17" fontId="0" fillId="0" borderId="1" xfId="0" applyNumberFormat="1" applyBorder="1"/>
    <xf numFmtId="169" fontId="0" fillId="0" borderId="0" xfId="0" applyNumberFormat="1"/>
    <xf numFmtId="169" fontId="0" fillId="0" borderId="4" xfId="1" applyNumberFormat="1" applyFont="1" applyBorder="1"/>
    <xf numFmtId="169" fontId="0" fillId="0" borderId="0" xfId="1" applyNumberFormat="1" applyFont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43" fontId="0" fillId="0" borderId="0" xfId="1" applyFont="1"/>
    <xf numFmtId="43" fontId="0" fillId="0" borderId="1" xfId="1" applyFont="1" applyBorder="1"/>
    <xf numFmtId="43" fontId="3" fillId="0" borderId="1" xfId="1" applyFont="1" applyBorder="1"/>
    <xf numFmtId="43" fontId="3" fillId="0" borderId="4" xfId="1" applyFont="1" applyBorder="1"/>
    <xf numFmtId="0" fontId="2" fillId="0" borderId="0" xfId="0" applyFont="1" applyAlignment="1">
      <alignment horizontal="center"/>
    </xf>
    <xf numFmtId="169" fontId="3" fillId="0" borderId="1" xfId="1" applyNumberFormat="1" applyFont="1" applyBorder="1"/>
    <xf numFmtId="169" fontId="3" fillId="0" borderId="1" xfId="1" applyNumberFormat="1" applyFont="1" applyBorder="1" applyAlignment="1">
      <alignment horizontal="center"/>
    </xf>
    <xf numFmtId="169" fontId="0" fillId="0" borderId="1" xfId="1" applyNumberFormat="1" applyFont="1" applyFill="1" applyBorder="1"/>
    <xf numFmtId="0" fontId="5" fillId="0" borderId="1" xfId="0" applyFont="1" applyBorder="1" applyAlignment="1"/>
    <xf numFmtId="0" fontId="6" fillId="0" borderId="1" xfId="0" applyFont="1" applyBorder="1"/>
    <xf numFmtId="0" fontId="9" fillId="0" borderId="1" xfId="0" applyFont="1" applyBorder="1"/>
    <xf numFmtId="169" fontId="3" fillId="0" borderId="4" xfId="1" applyNumberFormat="1" applyFont="1" applyBorder="1"/>
    <xf numFmtId="43" fontId="0" fillId="0" borderId="0" xfId="0" applyNumberFormat="1"/>
    <xf numFmtId="43" fontId="3" fillId="0" borderId="1" xfId="1" applyFont="1" applyBorder="1" applyAlignment="1">
      <alignment horizontal="right"/>
    </xf>
    <xf numFmtId="0" fontId="10" fillId="0" borderId="0" xfId="0" applyFont="1"/>
    <xf numFmtId="169" fontId="0" fillId="0" borderId="2" xfId="1" applyNumberFormat="1" applyFont="1" applyFill="1" applyBorder="1"/>
    <xf numFmtId="169" fontId="0" fillId="0" borderId="4" xfId="1" applyNumberFormat="1" applyFont="1" applyFill="1" applyBorder="1"/>
    <xf numFmtId="43" fontId="10" fillId="0" borderId="1" xfId="1" applyFont="1" applyBorder="1"/>
    <xf numFmtId="0" fontId="10" fillId="0" borderId="1" xfId="0" applyFont="1" applyBorder="1"/>
    <xf numFmtId="169" fontId="3" fillId="2" borderId="1" xfId="1" applyNumberFormat="1" applyFont="1" applyFill="1" applyBorder="1"/>
    <xf numFmtId="169" fontId="11" fillId="2" borderId="1" xfId="1" applyNumberFormat="1" applyFont="1" applyFill="1" applyBorder="1"/>
    <xf numFmtId="169" fontId="3" fillId="0" borderId="0" xfId="1" applyNumberFormat="1" applyFont="1"/>
    <xf numFmtId="169" fontId="0" fillId="0" borderId="3" xfId="1" applyNumberFormat="1" applyFont="1" applyBorder="1"/>
    <xf numFmtId="169" fontId="0" fillId="0" borderId="5" xfId="1" applyNumberFormat="1" applyFont="1" applyBorder="1"/>
    <xf numFmtId="169" fontId="0" fillId="0" borderId="6" xfId="1" applyNumberFormat="1" applyFont="1" applyFill="1" applyBorder="1"/>
    <xf numFmtId="169" fontId="3" fillId="0" borderId="2" xfId="1" applyNumberFormat="1" applyFont="1" applyBorder="1"/>
    <xf numFmtId="0" fontId="8" fillId="0" borderId="1" xfId="0" applyFont="1" applyBorder="1"/>
    <xf numFmtId="0" fontId="3" fillId="0" borderId="0" xfId="0" applyFont="1" applyFill="1" applyBorder="1"/>
    <xf numFmtId="169" fontId="0" fillId="0" borderId="1" xfId="0" applyNumberFormat="1" applyBorder="1"/>
    <xf numFmtId="169" fontId="3" fillId="0" borderId="3" xfId="1" applyNumberFormat="1" applyFont="1" applyBorder="1"/>
    <xf numFmtId="0" fontId="8" fillId="0" borderId="0" xfId="0" applyFont="1"/>
    <xf numFmtId="0" fontId="3" fillId="0" borderId="7" xfId="0" applyFont="1" applyBorder="1"/>
    <xf numFmtId="0" fontId="0" fillId="0" borderId="8" xfId="0" applyBorder="1"/>
    <xf numFmtId="0" fontId="3" fillId="0" borderId="8" xfId="0" applyFont="1" applyBorder="1"/>
    <xf numFmtId="0" fontId="0" fillId="0" borderId="5" xfId="0" applyBorder="1"/>
    <xf numFmtId="169" fontId="0" fillId="0" borderId="6" xfId="1" applyNumberFormat="1" applyFont="1" applyBorder="1"/>
    <xf numFmtId="169" fontId="0" fillId="0" borderId="9" xfId="1" applyNumberFormat="1" applyFont="1" applyBorder="1"/>
    <xf numFmtId="169" fontId="0" fillId="0" borderId="6" xfId="0" applyNumberFormat="1" applyBorder="1"/>
    <xf numFmtId="168" fontId="0" fillId="0" borderId="0" xfId="1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Border="1"/>
    <xf numFmtId="169" fontId="0" fillId="0" borderId="0" xfId="1" applyNumberFormat="1" applyFont="1" applyBorder="1"/>
    <xf numFmtId="169" fontId="0" fillId="0" borderId="0" xfId="0" applyNumberFormat="1" applyBorder="1"/>
    <xf numFmtId="169" fontId="3" fillId="2" borderId="4" xfId="1" applyNumberFormat="1" applyFont="1" applyFill="1" applyBorder="1"/>
    <xf numFmtId="169" fontId="3" fillId="0" borderId="0" xfId="1" applyNumberFormat="1" applyFont="1" applyBorder="1"/>
    <xf numFmtId="169" fontId="3" fillId="0" borderId="0" xfId="0" applyNumberFormat="1" applyFont="1" applyBorder="1"/>
    <xf numFmtId="169" fontId="2" fillId="0" borderId="0" xfId="1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/>
    <xf numFmtId="169" fontId="12" fillId="0" borderId="1" xfId="1" applyNumberFormat="1" applyFont="1" applyBorder="1" applyAlignment="1"/>
    <xf numFmtId="168" fontId="12" fillId="0" borderId="1" xfId="1" applyNumberFormat="1" applyFont="1" applyBorder="1" applyAlignment="1"/>
    <xf numFmtId="0" fontId="12" fillId="0" borderId="2" xfId="0" applyFont="1" applyBorder="1" applyAlignment="1"/>
    <xf numFmtId="169" fontId="14" fillId="0" borderId="4" xfId="0" applyNumberFormat="1" applyFont="1" applyBorder="1" applyAlignment="1"/>
    <xf numFmtId="169" fontId="3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>
      <selection activeCell="I3" sqref="I3"/>
    </sheetView>
  </sheetViews>
  <sheetFormatPr defaultRowHeight="12.75"/>
  <cols>
    <col min="1" max="1" width="21.28515625" customWidth="1"/>
    <col min="2" max="2" width="13.5703125" style="14" customWidth="1"/>
    <col min="3" max="3" width="14" bestFit="1" customWidth="1"/>
    <col min="4" max="4" width="12.5703125" customWidth="1"/>
    <col min="5" max="5" width="14" bestFit="1" customWidth="1"/>
    <col min="6" max="6" width="16" customWidth="1"/>
    <col min="7" max="7" width="14" bestFit="1" customWidth="1"/>
    <col min="8" max="8" width="14.42578125" customWidth="1"/>
    <col min="9" max="9" width="15.5703125" customWidth="1"/>
    <col min="10" max="10" width="16.5703125" bestFit="1" customWidth="1"/>
    <col min="11" max="11" width="18.42578125" style="14" bestFit="1" customWidth="1"/>
    <col min="12" max="12" width="12.28515625" bestFit="1" customWidth="1"/>
    <col min="13" max="13" width="16.5703125" bestFit="1" customWidth="1"/>
  </cols>
  <sheetData>
    <row r="1" spans="1:12">
      <c r="E1" s="1" t="s">
        <v>136</v>
      </c>
      <c r="K1" s="76"/>
      <c r="L1" s="78" t="s">
        <v>137</v>
      </c>
    </row>
    <row r="2" spans="1:12">
      <c r="E2" s="1" t="s">
        <v>135</v>
      </c>
    </row>
    <row r="3" spans="1:12">
      <c r="B3" s="63"/>
    </row>
    <row r="4" spans="1:12">
      <c r="B4" s="63"/>
    </row>
    <row r="5" spans="1:12">
      <c r="C5" s="48" t="s">
        <v>9</v>
      </c>
      <c r="D5" s="49"/>
      <c r="E5" s="50" t="s">
        <v>138</v>
      </c>
      <c r="F5" s="48" t="s">
        <v>10</v>
      </c>
      <c r="G5" s="49"/>
      <c r="H5" s="51"/>
    </row>
    <row r="6" spans="1:12">
      <c r="A6" s="3" t="s">
        <v>2</v>
      </c>
      <c r="B6" s="22" t="s">
        <v>3</v>
      </c>
      <c r="C6" s="3" t="s">
        <v>7</v>
      </c>
      <c r="D6" s="77" t="s">
        <v>5</v>
      </c>
      <c r="E6" s="77" t="s">
        <v>6</v>
      </c>
      <c r="F6" s="3" t="s">
        <v>7</v>
      </c>
      <c r="G6" s="77" t="s">
        <v>5</v>
      </c>
      <c r="H6" s="77" t="s">
        <v>6</v>
      </c>
      <c r="I6" s="77" t="s">
        <v>11</v>
      </c>
      <c r="J6" s="3" t="s">
        <v>116</v>
      </c>
      <c r="K6" s="22" t="s">
        <v>138</v>
      </c>
    </row>
    <row r="7" spans="1:12" ht="13.5" thickBot="1">
      <c r="A7" s="5"/>
      <c r="B7" s="46" t="s">
        <v>123</v>
      </c>
      <c r="C7" s="5" t="s">
        <v>126</v>
      </c>
      <c r="D7" s="56" t="s">
        <v>127</v>
      </c>
      <c r="E7" s="56" t="s">
        <v>127</v>
      </c>
      <c r="F7" s="5" t="s">
        <v>126</v>
      </c>
      <c r="G7" s="56" t="s">
        <v>127</v>
      </c>
      <c r="H7" s="56" t="s">
        <v>127</v>
      </c>
      <c r="I7" s="56" t="s">
        <v>127</v>
      </c>
      <c r="J7" s="5" t="s">
        <v>128</v>
      </c>
      <c r="K7" s="46" t="s">
        <v>130</v>
      </c>
    </row>
    <row r="8" spans="1:12">
      <c r="A8" s="4">
        <v>1995</v>
      </c>
      <c r="B8" s="8">
        <v>53291.94</v>
      </c>
      <c r="C8" s="8">
        <f t="shared" ref="C8:C17" si="0">+B8*500</f>
        <v>26645970</v>
      </c>
      <c r="D8" s="8"/>
      <c r="E8" s="32">
        <f t="shared" ref="E8:E44" si="1">+C8-D8</f>
        <v>26645970</v>
      </c>
      <c r="F8" s="8">
        <f>+B8*14.5</f>
        <v>772733.13</v>
      </c>
      <c r="G8" s="8"/>
      <c r="H8" s="8">
        <f>+F8-G8</f>
        <v>772733.13</v>
      </c>
      <c r="I8" s="9">
        <f>+H8+E8</f>
        <v>27418703.129999999</v>
      </c>
      <c r="J8" s="9">
        <f>+I8*0.06</f>
        <v>1645122.1878</v>
      </c>
      <c r="K8" s="8">
        <f>+J8/514.5*500</f>
        <v>1598758.2</v>
      </c>
    </row>
    <row r="9" spans="1:12">
      <c r="A9" s="2">
        <v>1996</v>
      </c>
      <c r="B9" s="10">
        <v>251503.24</v>
      </c>
      <c r="C9" s="8">
        <f t="shared" si="0"/>
        <v>125751620</v>
      </c>
      <c r="D9" s="10"/>
      <c r="E9" s="32">
        <f t="shared" si="1"/>
        <v>125751620</v>
      </c>
      <c r="F9" s="8">
        <f>3018039+754510</f>
        <v>3772549</v>
      </c>
      <c r="G9" s="10"/>
      <c r="H9" s="8">
        <f t="shared" ref="H9:H44" si="2">+F9-G9</f>
        <v>3772549</v>
      </c>
      <c r="I9" s="9">
        <f>+I8+E9+H9</f>
        <v>156942872.13</v>
      </c>
      <c r="J9" s="45">
        <f>+I9*0.06</f>
        <v>9416572.3278000001</v>
      </c>
      <c r="K9" s="8">
        <f t="shared" ref="K9:K42" si="3">+J9/514.5*500</f>
        <v>9151187.8793002926</v>
      </c>
    </row>
    <row r="10" spans="1:12">
      <c r="A10" s="2">
        <v>1997</v>
      </c>
      <c r="B10" s="10">
        <v>243167.35999999999</v>
      </c>
      <c r="C10" s="8">
        <f t="shared" si="0"/>
        <v>121583680</v>
      </c>
      <c r="D10" s="10"/>
      <c r="E10" s="32">
        <f t="shared" si="1"/>
        <v>121583680</v>
      </c>
      <c r="F10" s="8">
        <f>729502+2918008</f>
        <v>3647510</v>
      </c>
      <c r="G10" s="10"/>
      <c r="H10" s="8">
        <f t="shared" si="2"/>
        <v>3647510</v>
      </c>
      <c r="I10" s="9">
        <f t="shared" ref="I10:I44" si="4">+I9+E10+H10</f>
        <v>282174062.13</v>
      </c>
      <c r="J10" s="45">
        <f t="shared" ref="J10:J17" si="5">+I10*0.06</f>
        <v>16930443.7278</v>
      </c>
      <c r="K10" s="8">
        <f t="shared" si="3"/>
        <v>16453298.083381923</v>
      </c>
    </row>
    <row r="11" spans="1:12">
      <c r="A11" s="2">
        <v>1998</v>
      </c>
      <c r="B11" s="10">
        <v>236771.98</v>
      </c>
      <c r="C11" s="8">
        <f t="shared" si="0"/>
        <v>118385990</v>
      </c>
      <c r="D11" s="10"/>
      <c r="E11" s="32">
        <f t="shared" si="1"/>
        <v>118385990</v>
      </c>
      <c r="F11" s="8">
        <f>+B11*14.5</f>
        <v>3433193.71</v>
      </c>
      <c r="G11" s="10"/>
      <c r="H11" s="8">
        <f t="shared" si="2"/>
        <v>3433193.71</v>
      </c>
      <c r="I11" s="9">
        <f t="shared" si="4"/>
        <v>403993245.83999997</v>
      </c>
      <c r="J11" s="45">
        <f t="shared" si="5"/>
        <v>24239594.750399999</v>
      </c>
      <c r="K11" s="8">
        <f t="shared" si="3"/>
        <v>23556457.483381923</v>
      </c>
    </row>
    <row r="12" spans="1:12">
      <c r="A12" s="2">
        <v>1999</v>
      </c>
      <c r="B12" s="10">
        <v>270941.32</v>
      </c>
      <c r="C12" s="8">
        <f t="shared" si="0"/>
        <v>135470660</v>
      </c>
      <c r="D12" s="10"/>
      <c r="E12" s="32">
        <f t="shared" si="1"/>
        <v>135470660</v>
      </c>
      <c r="F12" s="8">
        <f>+B12*14.5</f>
        <v>3928649.14</v>
      </c>
      <c r="G12" s="10"/>
      <c r="H12" s="8">
        <f t="shared" si="2"/>
        <v>3928649.14</v>
      </c>
      <c r="I12" s="9">
        <f t="shared" si="4"/>
        <v>543392554.9799999</v>
      </c>
      <c r="J12" s="45">
        <f t="shared" si="5"/>
        <v>32603553.298799992</v>
      </c>
      <c r="K12" s="8">
        <f t="shared" si="3"/>
        <v>31684697.083381917</v>
      </c>
    </row>
    <row r="13" spans="1:12">
      <c r="A13" s="2">
        <v>2000</v>
      </c>
      <c r="B13" s="10">
        <v>277266.87</v>
      </c>
      <c r="C13" s="8">
        <f t="shared" si="0"/>
        <v>138633435</v>
      </c>
      <c r="D13" s="10"/>
      <c r="E13" s="32">
        <f t="shared" si="1"/>
        <v>138633435</v>
      </c>
      <c r="F13" s="8">
        <f>782897+3327202</f>
        <v>4110099</v>
      </c>
      <c r="G13" s="10"/>
      <c r="H13" s="8">
        <f t="shared" si="2"/>
        <v>4110099</v>
      </c>
      <c r="I13" s="9">
        <f t="shared" si="4"/>
        <v>686136088.9799999</v>
      </c>
      <c r="J13" s="45">
        <f t="shared" si="5"/>
        <v>41168165.338799991</v>
      </c>
      <c r="K13" s="8">
        <f t="shared" si="3"/>
        <v>40007935.217492707</v>
      </c>
    </row>
    <row r="14" spans="1:12">
      <c r="A14" s="2">
        <v>2001</v>
      </c>
      <c r="B14" s="10">
        <v>252441.8</v>
      </c>
      <c r="C14" s="8">
        <f t="shared" si="0"/>
        <v>126220900</v>
      </c>
      <c r="D14" s="10"/>
      <c r="E14" s="32">
        <f t="shared" si="1"/>
        <v>126220900</v>
      </c>
      <c r="F14" s="8">
        <f>+B14*14.5</f>
        <v>3660406.0999999996</v>
      </c>
      <c r="G14" s="10"/>
      <c r="H14" s="8">
        <f t="shared" si="2"/>
        <v>3660406.0999999996</v>
      </c>
      <c r="I14" s="9">
        <f t="shared" si="4"/>
        <v>816017395.07999992</v>
      </c>
      <c r="J14" s="45">
        <f t="shared" si="5"/>
        <v>48961043.704799995</v>
      </c>
      <c r="K14" s="8">
        <f t="shared" si="3"/>
        <v>47581189.217492707</v>
      </c>
    </row>
    <row r="15" spans="1:12">
      <c r="A15" s="2">
        <v>2002</v>
      </c>
      <c r="B15" s="10">
        <v>282970.79599999997</v>
      </c>
      <c r="C15" s="8">
        <f t="shared" si="0"/>
        <v>141485398</v>
      </c>
      <c r="D15" s="10">
        <f>59715500+36206500</f>
        <v>95922000</v>
      </c>
      <c r="E15" s="32">
        <f t="shared" si="1"/>
        <v>45563398</v>
      </c>
      <c r="F15" s="8">
        <f>+B15*14.5</f>
        <v>4103076.5419999994</v>
      </c>
      <c r="G15" s="10">
        <f>98699648-D15</f>
        <v>2777648</v>
      </c>
      <c r="H15" s="8">
        <f t="shared" si="2"/>
        <v>1325428.5419999994</v>
      </c>
      <c r="I15" s="9">
        <f t="shared" si="4"/>
        <v>862906221.62199998</v>
      </c>
      <c r="J15" s="45">
        <f t="shared" si="5"/>
        <v>51774373.297319993</v>
      </c>
      <c r="K15" s="8">
        <f t="shared" si="3"/>
        <v>50315231.581457719</v>
      </c>
    </row>
    <row r="16" spans="1:12">
      <c r="A16" s="2">
        <v>2003</v>
      </c>
      <c r="B16" s="10">
        <v>311751.24900000001</v>
      </c>
      <c r="C16" s="8">
        <f t="shared" si="0"/>
        <v>155875624.5</v>
      </c>
      <c r="D16" s="10"/>
      <c r="E16" s="32">
        <f t="shared" si="1"/>
        <v>155875624.5</v>
      </c>
      <c r="F16" s="8">
        <f>+B16*14.5</f>
        <v>4520393.1105000004</v>
      </c>
      <c r="G16" s="10"/>
      <c r="H16" s="8">
        <f t="shared" si="2"/>
        <v>4520393.1105000004</v>
      </c>
      <c r="I16" s="9">
        <f t="shared" si="4"/>
        <v>1023302239.2325</v>
      </c>
      <c r="J16" s="45">
        <f t="shared" si="5"/>
        <v>61398134.353949994</v>
      </c>
      <c r="K16" s="8">
        <f t="shared" si="3"/>
        <v>59667769.051457718</v>
      </c>
    </row>
    <row r="17" spans="1:12">
      <c r="A17" s="2">
        <v>2004</v>
      </c>
      <c r="B17" s="10">
        <v>289584</v>
      </c>
      <c r="C17" s="8">
        <f t="shared" si="0"/>
        <v>144792000</v>
      </c>
      <c r="D17" s="10"/>
      <c r="E17" s="32">
        <f t="shared" si="1"/>
        <v>144792000</v>
      </c>
      <c r="F17" s="8">
        <f>+B17*14.5</f>
        <v>4198968</v>
      </c>
      <c r="G17" s="10"/>
      <c r="H17" s="8">
        <f t="shared" si="2"/>
        <v>4198968</v>
      </c>
      <c r="I17" s="9">
        <f t="shared" si="4"/>
        <v>1172293207.2325001</v>
      </c>
      <c r="J17" s="45">
        <f t="shared" si="5"/>
        <v>70337592.433950007</v>
      </c>
      <c r="K17" s="8">
        <f t="shared" si="3"/>
        <v>68355289.051457733</v>
      </c>
    </row>
    <row r="18" spans="1:12">
      <c r="A18" s="11">
        <v>38443</v>
      </c>
      <c r="B18" s="10">
        <v>65523.82</v>
      </c>
      <c r="C18" s="8">
        <v>32761974</v>
      </c>
      <c r="D18" s="10">
        <v>13874161</v>
      </c>
      <c r="E18" s="32">
        <f t="shared" si="1"/>
        <v>18887813</v>
      </c>
      <c r="F18" s="8">
        <f>163811+786288</f>
        <v>950099</v>
      </c>
      <c r="G18" s="10"/>
      <c r="H18" s="8">
        <f t="shared" si="2"/>
        <v>950099</v>
      </c>
      <c r="I18" s="9">
        <f t="shared" si="4"/>
        <v>1192131119.2325001</v>
      </c>
      <c r="J18" s="45"/>
      <c r="K18" s="8"/>
    </row>
    <row r="19" spans="1:12">
      <c r="A19" s="15" t="s">
        <v>12</v>
      </c>
      <c r="B19" s="10"/>
      <c r="C19" s="8">
        <f t="shared" ref="C19:C26" si="6">+B19*500</f>
        <v>0</v>
      </c>
      <c r="D19" s="10">
        <v>50000000</v>
      </c>
      <c r="E19" s="32">
        <f t="shared" si="1"/>
        <v>-50000000</v>
      </c>
      <c r="F19" s="8">
        <f t="shared" ref="F19:F42" si="7">+B19*14.5</f>
        <v>0</v>
      </c>
      <c r="G19" s="10"/>
      <c r="H19" s="8">
        <f t="shared" si="2"/>
        <v>0</v>
      </c>
      <c r="I19" s="9">
        <f t="shared" si="4"/>
        <v>1142131119.2325001</v>
      </c>
      <c r="J19" s="45"/>
      <c r="K19" s="8"/>
    </row>
    <row r="20" spans="1:12">
      <c r="A20" s="15" t="s">
        <v>13</v>
      </c>
      <c r="B20" s="10"/>
      <c r="C20" s="8">
        <f t="shared" si="6"/>
        <v>0</v>
      </c>
      <c r="D20" s="10">
        <v>20000000</v>
      </c>
      <c r="E20" s="32">
        <f t="shared" si="1"/>
        <v>-20000000</v>
      </c>
      <c r="F20" s="8">
        <f t="shared" si="7"/>
        <v>0</v>
      </c>
      <c r="G20" s="10"/>
      <c r="H20" s="8">
        <f t="shared" si="2"/>
        <v>0</v>
      </c>
      <c r="I20" s="9">
        <f t="shared" si="4"/>
        <v>1122131119.2325001</v>
      </c>
      <c r="J20" s="45"/>
      <c r="K20" s="8"/>
    </row>
    <row r="21" spans="1:12">
      <c r="A21" s="15" t="s">
        <v>14</v>
      </c>
      <c r="B21" s="10">
        <v>119630.18</v>
      </c>
      <c r="C21" s="8">
        <f t="shared" si="6"/>
        <v>59815090</v>
      </c>
      <c r="D21" s="10">
        <f>(61514998/514.5*500)+195850+175164+224344+668473+0</f>
        <v>61045170.164237119</v>
      </c>
      <c r="E21" s="32">
        <f t="shared" si="1"/>
        <v>-1230080.1642371193</v>
      </c>
      <c r="F21" s="8">
        <f t="shared" si="7"/>
        <v>1734637.6099999999</v>
      </c>
      <c r="G21" s="10">
        <f>(61514998*14.5/514.5)-195850-175164-224344-668473</f>
        <v>469827.83576287655</v>
      </c>
      <c r="H21" s="8">
        <f t="shared" si="2"/>
        <v>1264809.7742371233</v>
      </c>
      <c r="I21" s="9">
        <f t="shared" si="4"/>
        <v>1122165848.8425002</v>
      </c>
      <c r="J21" s="45"/>
      <c r="K21" s="8"/>
      <c r="L21" s="12"/>
    </row>
    <row r="22" spans="1:12">
      <c r="A22" s="15" t="s">
        <v>15</v>
      </c>
      <c r="B22" s="10">
        <v>45261.84</v>
      </c>
      <c r="C22" s="8">
        <f t="shared" si="6"/>
        <v>22630920</v>
      </c>
      <c r="D22" s="10">
        <f>23287218*500/514.5+4</f>
        <v>22630925.282798834</v>
      </c>
      <c r="E22" s="32">
        <f t="shared" si="1"/>
        <v>-5.2827988341450691</v>
      </c>
      <c r="F22" s="8">
        <f t="shared" si="7"/>
        <v>656296.67999999993</v>
      </c>
      <c r="G22" s="10">
        <f>23287219*14.5/514.5-5</f>
        <v>656291.74538386788</v>
      </c>
      <c r="H22" s="8">
        <f t="shared" si="2"/>
        <v>4.9346161320572719</v>
      </c>
      <c r="I22" s="9">
        <f t="shared" si="4"/>
        <v>1122165848.4943175</v>
      </c>
      <c r="J22" s="45">
        <f>+I22*0.06</f>
        <v>67329950.909659043</v>
      </c>
      <c r="K22" s="8">
        <f t="shared" si="3"/>
        <v>65432410.990922295</v>
      </c>
    </row>
    <row r="23" spans="1:12">
      <c r="A23" s="15">
        <v>2006</v>
      </c>
      <c r="B23" s="10">
        <v>238590.35</v>
      </c>
      <c r="C23" s="8">
        <f t="shared" si="6"/>
        <v>119295175</v>
      </c>
      <c r="D23" s="10">
        <f>45707255/514.5*500+24</f>
        <v>44419125.06899903</v>
      </c>
      <c r="E23" s="32">
        <f t="shared" si="1"/>
        <v>74876049.931000978</v>
      </c>
      <c r="F23" s="8">
        <f t="shared" si="7"/>
        <v>3459560.0750000002</v>
      </c>
      <c r="G23" s="10">
        <f>45707255/514.5*14.5-24</f>
        <v>1288129.9310009719</v>
      </c>
      <c r="H23" s="8">
        <f t="shared" si="2"/>
        <v>2171430.143999028</v>
      </c>
      <c r="I23" s="9">
        <f t="shared" si="4"/>
        <v>1199213328.5693176</v>
      </c>
      <c r="J23" s="45">
        <f>+I23*0.06</f>
        <v>71952799.714159057</v>
      </c>
      <c r="K23" s="8">
        <f t="shared" si="3"/>
        <v>69924975.42678237</v>
      </c>
      <c r="L23" s="12"/>
    </row>
    <row r="24" spans="1:12">
      <c r="A24" s="15" t="s">
        <v>16</v>
      </c>
      <c r="B24" s="10">
        <v>87571.62</v>
      </c>
      <c r="C24" s="8">
        <f t="shared" si="6"/>
        <v>43785810</v>
      </c>
      <c r="D24" s="10">
        <f>77047479*500/514.5</f>
        <v>74876072.886297375</v>
      </c>
      <c r="E24" s="32">
        <f t="shared" si="1"/>
        <v>-31090262.886297375</v>
      </c>
      <c r="F24" s="8">
        <f t="shared" si="7"/>
        <v>1269788.49</v>
      </c>
      <c r="G24" s="10">
        <f>77047479*14.5/514.5</f>
        <v>2171406.1137026241</v>
      </c>
      <c r="H24" s="8">
        <f t="shared" si="2"/>
        <v>-901617.62370262411</v>
      </c>
      <c r="I24" s="9">
        <f t="shared" si="4"/>
        <v>1167221448.0593176</v>
      </c>
      <c r="J24" s="45"/>
      <c r="K24" s="8"/>
    </row>
    <row r="25" spans="1:12">
      <c r="A25" s="15" t="s">
        <v>17</v>
      </c>
      <c r="B25" s="10">
        <v>158444.73000000001</v>
      </c>
      <c r="C25" s="8">
        <f t="shared" si="6"/>
        <v>79222365</v>
      </c>
      <c r="D25" s="10">
        <f>47973696*500/514.5-21</f>
        <v>46621646.638483964</v>
      </c>
      <c r="E25" s="32">
        <f t="shared" si="1"/>
        <v>32600718.361516036</v>
      </c>
      <c r="F25" s="8">
        <f t="shared" si="7"/>
        <v>2297448.585</v>
      </c>
      <c r="G25" s="10">
        <f>47973696*14.5/514.5+21</f>
        <v>1352049.3615160349</v>
      </c>
      <c r="H25" s="8">
        <f t="shared" si="2"/>
        <v>945399.22348396503</v>
      </c>
      <c r="I25" s="9">
        <f t="shared" si="4"/>
        <v>1200767565.6443176</v>
      </c>
      <c r="J25" s="45">
        <f>+I25*0.06</f>
        <v>72046053.938659057</v>
      </c>
      <c r="K25" s="8">
        <f t="shared" si="3"/>
        <v>70015601.49529548</v>
      </c>
    </row>
    <row r="26" spans="1:12">
      <c r="A26" s="15" t="s">
        <v>18</v>
      </c>
      <c r="B26" s="10">
        <v>86369.17</v>
      </c>
      <c r="C26" s="8">
        <f t="shared" si="6"/>
        <v>43184585</v>
      </c>
      <c r="D26" s="10"/>
      <c r="E26" s="32">
        <f t="shared" si="1"/>
        <v>43184585</v>
      </c>
      <c r="F26" s="8">
        <f t="shared" si="7"/>
        <v>1252352.9650000001</v>
      </c>
      <c r="G26" s="10"/>
      <c r="H26" s="8">
        <f t="shared" si="2"/>
        <v>1252352.9650000001</v>
      </c>
      <c r="I26" s="9">
        <f t="shared" si="4"/>
        <v>1245204503.6093175</v>
      </c>
      <c r="J26" s="45"/>
      <c r="K26" s="8"/>
    </row>
    <row r="27" spans="1:12">
      <c r="A27" s="15" t="s">
        <v>19</v>
      </c>
      <c r="C27" s="8"/>
      <c r="D27" s="10">
        <f>33730416*500/514.5</f>
        <v>32779801.749271136</v>
      </c>
      <c r="E27" s="32">
        <f t="shared" si="1"/>
        <v>-32779801.749271136</v>
      </c>
      <c r="F27" s="8">
        <f t="shared" si="7"/>
        <v>0</v>
      </c>
      <c r="G27" s="10">
        <f>33730416/514.5*14.5</f>
        <v>950614.25072886294</v>
      </c>
      <c r="H27" s="8">
        <f t="shared" si="2"/>
        <v>-950614.25072886294</v>
      </c>
      <c r="I27" s="9">
        <f t="shared" si="4"/>
        <v>1211474087.6093175</v>
      </c>
      <c r="J27" s="45"/>
      <c r="K27" s="8"/>
    </row>
    <row r="28" spans="1:12">
      <c r="A28" s="15" t="s">
        <v>29</v>
      </c>
      <c r="B28" s="10">
        <v>118991.73</v>
      </c>
      <c r="C28" s="8">
        <f t="shared" ref="C28:C44" si="8">+B28*500</f>
        <v>59495865</v>
      </c>
      <c r="D28" s="10"/>
      <c r="E28" s="32">
        <f t="shared" si="1"/>
        <v>59495865</v>
      </c>
      <c r="F28" s="8">
        <f t="shared" si="7"/>
        <v>1725380.085</v>
      </c>
      <c r="G28" s="10"/>
      <c r="H28" s="8">
        <f t="shared" si="2"/>
        <v>1725380.085</v>
      </c>
      <c r="I28" s="9">
        <f t="shared" si="4"/>
        <v>1272695332.6943176</v>
      </c>
      <c r="J28" s="45"/>
      <c r="K28" s="8"/>
    </row>
    <row r="29" spans="1:12">
      <c r="A29" s="15" t="s">
        <v>20</v>
      </c>
      <c r="B29" s="10"/>
      <c r="C29" s="8">
        <f t="shared" si="8"/>
        <v>0</v>
      </c>
      <c r="D29" s="10">
        <f>75881463*500/514.5</f>
        <v>73742918.367346942</v>
      </c>
      <c r="E29" s="32">
        <f t="shared" si="1"/>
        <v>-73742918.367346942</v>
      </c>
      <c r="F29" s="8">
        <f t="shared" si="7"/>
        <v>0</v>
      </c>
      <c r="G29" s="10">
        <f>75881463*14.5/514.5</f>
        <v>2138544.6326530613</v>
      </c>
      <c r="H29" s="8">
        <f t="shared" si="2"/>
        <v>-2138544.6326530613</v>
      </c>
      <c r="I29" s="9">
        <f t="shared" si="4"/>
        <v>1196813869.6943176</v>
      </c>
      <c r="J29" s="45">
        <f>+I29*0.06</f>
        <v>71808832.181659058</v>
      </c>
      <c r="K29" s="8">
        <f t="shared" si="3"/>
        <v>69785065.288298398</v>
      </c>
    </row>
    <row r="30" spans="1:12">
      <c r="A30" s="15" t="s">
        <v>21</v>
      </c>
      <c r="B30" s="10">
        <v>148515.29</v>
      </c>
      <c r="C30" s="8">
        <f t="shared" si="8"/>
        <v>74257645</v>
      </c>
      <c r="D30" s="10"/>
      <c r="E30" s="32">
        <f t="shared" si="1"/>
        <v>74257645</v>
      </c>
      <c r="F30" s="8">
        <f t="shared" si="7"/>
        <v>2153471.7050000001</v>
      </c>
      <c r="G30" s="10"/>
      <c r="H30" s="8">
        <f t="shared" si="2"/>
        <v>2153471.7050000001</v>
      </c>
      <c r="I30" s="9">
        <f t="shared" si="4"/>
        <v>1273224986.3993175</v>
      </c>
      <c r="J30" s="45"/>
      <c r="K30" s="8"/>
    </row>
    <row r="31" spans="1:12">
      <c r="A31" s="15" t="s">
        <v>22</v>
      </c>
      <c r="B31" s="10"/>
      <c r="C31" s="8">
        <f t="shared" si="8"/>
        <v>0</v>
      </c>
      <c r="D31" s="10">
        <f>20000000*500/514.5</f>
        <v>19436345.966958214</v>
      </c>
      <c r="E31" s="32">
        <f t="shared" si="1"/>
        <v>-19436345.966958214</v>
      </c>
      <c r="F31" s="8">
        <f t="shared" si="7"/>
        <v>0</v>
      </c>
      <c r="G31" s="10">
        <f>20000000*14.5/514.5</f>
        <v>563654.03304178815</v>
      </c>
      <c r="H31" s="8">
        <f t="shared" si="2"/>
        <v>-563654.03304178815</v>
      </c>
      <c r="I31" s="9">
        <f t="shared" si="4"/>
        <v>1253224986.3993175</v>
      </c>
      <c r="J31" s="45"/>
      <c r="K31" s="8"/>
    </row>
    <row r="32" spans="1:12">
      <c r="A32" s="15" t="s">
        <v>23</v>
      </c>
      <c r="B32" s="10"/>
      <c r="C32" s="8">
        <f t="shared" si="8"/>
        <v>0</v>
      </c>
      <c r="D32" s="10">
        <v>10457001</v>
      </c>
      <c r="E32" s="32">
        <f t="shared" si="1"/>
        <v>-10457001</v>
      </c>
      <c r="F32" s="8">
        <f t="shared" si="7"/>
        <v>0</v>
      </c>
      <c r="G32" s="10"/>
      <c r="H32" s="8">
        <f t="shared" si="2"/>
        <v>0</v>
      </c>
      <c r="I32" s="9">
        <f t="shared" si="4"/>
        <v>1242767985.3993175</v>
      </c>
      <c r="J32" s="45"/>
      <c r="K32" s="8"/>
    </row>
    <row r="33" spans="1:13">
      <c r="A33" s="15" t="s">
        <v>24</v>
      </c>
      <c r="B33" s="10"/>
      <c r="C33" s="8">
        <f t="shared" si="8"/>
        <v>0</v>
      </c>
      <c r="D33" s="10">
        <v>44191022</v>
      </c>
      <c r="E33" s="32">
        <f t="shared" si="1"/>
        <v>-44191022</v>
      </c>
      <c r="F33" s="8">
        <f t="shared" si="7"/>
        <v>0</v>
      </c>
      <c r="G33" s="10"/>
      <c r="H33" s="8">
        <f t="shared" si="2"/>
        <v>0</v>
      </c>
      <c r="I33" s="9">
        <f t="shared" si="4"/>
        <v>1198576963.3993175</v>
      </c>
      <c r="J33" s="45"/>
      <c r="K33" s="8"/>
    </row>
    <row r="34" spans="1:13">
      <c r="A34" s="15" t="s">
        <v>25</v>
      </c>
      <c r="B34" s="10">
        <v>70813.490000000005</v>
      </c>
      <c r="C34" s="8">
        <f t="shared" si="8"/>
        <v>35406745</v>
      </c>
      <c r="D34" s="10"/>
      <c r="E34" s="32">
        <f t="shared" si="1"/>
        <v>35406745</v>
      </c>
      <c r="F34" s="8">
        <f t="shared" si="7"/>
        <v>1026795.6050000001</v>
      </c>
      <c r="G34" s="10"/>
      <c r="H34" s="8">
        <f t="shared" si="2"/>
        <v>1026795.6050000001</v>
      </c>
      <c r="I34" s="9">
        <f t="shared" si="4"/>
        <v>1235010504.0043175</v>
      </c>
      <c r="J34" s="45">
        <f>+I34*0.06</f>
        <v>74100630.240259051</v>
      </c>
      <c r="K34" s="8">
        <f t="shared" si="3"/>
        <v>72012274.285966039</v>
      </c>
    </row>
    <row r="35" spans="1:13">
      <c r="A35" s="15" t="s">
        <v>60</v>
      </c>
      <c r="B35" s="10"/>
      <c r="C35" s="8">
        <f t="shared" si="8"/>
        <v>0</v>
      </c>
      <c r="D35" s="10">
        <f>112844658*500/514.5</f>
        <v>109664390.67055394</v>
      </c>
      <c r="E35" s="32">
        <f t="shared" si="1"/>
        <v>-109664390.67055394</v>
      </c>
      <c r="F35" s="8">
        <f t="shared" si="7"/>
        <v>0</v>
      </c>
      <c r="G35" s="10">
        <f>112844658*14.5/514.5</f>
        <v>3180267.3294460643</v>
      </c>
      <c r="H35" s="8">
        <f t="shared" si="2"/>
        <v>-3180267.3294460643</v>
      </c>
      <c r="I35" s="9">
        <f t="shared" si="4"/>
        <v>1122165846.0043175</v>
      </c>
      <c r="J35" s="45"/>
      <c r="K35" s="8"/>
    </row>
    <row r="36" spans="1:13">
      <c r="A36" s="15" t="s">
        <v>61</v>
      </c>
      <c r="B36" s="10"/>
      <c r="C36" s="8">
        <f t="shared" si="8"/>
        <v>0</v>
      </c>
      <c r="D36" s="10">
        <f>6022094*500/514.5</f>
        <v>5852375.1214771625</v>
      </c>
      <c r="E36" s="32">
        <f t="shared" si="1"/>
        <v>-5852375.1214771625</v>
      </c>
      <c r="F36" s="8">
        <f t="shared" si="7"/>
        <v>0</v>
      </c>
      <c r="G36" s="10">
        <f>6022094*14.5/514.5</f>
        <v>169718.87852283771</v>
      </c>
      <c r="H36" s="8">
        <f t="shared" si="2"/>
        <v>-169718.87852283771</v>
      </c>
      <c r="I36" s="9">
        <f t="shared" si="4"/>
        <v>1116143752.0043175</v>
      </c>
      <c r="J36" s="45"/>
      <c r="K36" s="8"/>
    </row>
    <row r="37" spans="1:13">
      <c r="A37" s="15" t="s">
        <v>62</v>
      </c>
      <c r="B37" s="10"/>
      <c r="C37" s="8">
        <f t="shared" si="8"/>
        <v>0</v>
      </c>
      <c r="D37" s="10">
        <f>17040394*500/514.5</f>
        <v>16560149.659863945</v>
      </c>
      <c r="E37" s="32">
        <f t="shared" si="1"/>
        <v>-16560149.659863945</v>
      </c>
      <c r="F37" s="8">
        <f t="shared" si="7"/>
        <v>0</v>
      </c>
      <c r="G37" s="10">
        <f>17040394*14.5/514.5</f>
        <v>480244.34013605444</v>
      </c>
      <c r="H37" s="8">
        <f t="shared" si="2"/>
        <v>-480244.34013605444</v>
      </c>
      <c r="I37" s="9">
        <f t="shared" si="4"/>
        <v>1099103358.0043175</v>
      </c>
      <c r="J37" s="45"/>
      <c r="K37" s="8"/>
      <c r="L37" s="12"/>
    </row>
    <row r="38" spans="1:13">
      <c r="A38" s="15" t="s">
        <v>26</v>
      </c>
      <c r="B38" s="10">
        <v>196160.76</v>
      </c>
      <c r="C38" s="8">
        <f t="shared" si="8"/>
        <v>98080380</v>
      </c>
      <c r="D38" s="10"/>
      <c r="E38" s="32">
        <f t="shared" si="1"/>
        <v>98080380</v>
      </c>
      <c r="F38" s="8">
        <f t="shared" si="7"/>
        <v>2844331.02</v>
      </c>
      <c r="G38" s="10"/>
      <c r="H38" s="8">
        <f t="shared" si="2"/>
        <v>2844331.02</v>
      </c>
      <c r="I38" s="9">
        <f t="shared" si="4"/>
        <v>1200028069.0243175</v>
      </c>
      <c r="J38" s="45">
        <f>+I38*0.06</f>
        <v>72001684.141459048</v>
      </c>
      <c r="K38" s="8">
        <f t="shared" si="3"/>
        <v>69972482.158852339</v>
      </c>
    </row>
    <row r="39" spans="1:13">
      <c r="A39" s="15" t="s">
        <v>27</v>
      </c>
      <c r="B39" s="10">
        <v>211574.64</v>
      </c>
      <c r="C39" s="8">
        <f t="shared" si="8"/>
        <v>105787320</v>
      </c>
      <c r="D39" s="10"/>
      <c r="E39" s="32">
        <f t="shared" si="1"/>
        <v>105787320</v>
      </c>
      <c r="F39" s="8">
        <f t="shared" si="7"/>
        <v>3067832.2800000003</v>
      </c>
      <c r="G39" s="10"/>
      <c r="H39" s="8">
        <f t="shared" si="2"/>
        <v>3067832.2800000003</v>
      </c>
      <c r="I39" s="9">
        <f t="shared" si="4"/>
        <v>1308883221.3043175</v>
      </c>
      <c r="J39" s="45">
        <f>+I39*0.06</f>
        <v>78532993.278259039</v>
      </c>
      <c r="K39" s="8">
        <f t="shared" si="3"/>
        <v>76319721.358852312</v>
      </c>
    </row>
    <row r="40" spans="1:13">
      <c r="A40" s="15" t="s">
        <v>28</v>
      </c>
      <c r="B40" s="10">
        <v>172461.89</v>
      </c>
      <c r="C40" s="8">
        <f t="shared" si="8"/>
        <v>86230945</v>
      </c>
      <c r="D40" s="10"/>
      <c r="E40" s="32">
        <f t="shared" si="1"/>
        <v>86230945</v>
      </c>
      <c r="F40" s="8">
        <f t="shared" si="7"/>
        <v>2500697.4050000003</v>
      </c>
      <c r="G40" s="10"/>
      <c r="H40" s="8">
        <f t="shared" si="2"/>
        <v>2500697.4050000003</v>
      </c>
      <c r="I40" s="9">
        <f t="shared" si="4"/>
        <v>1397614863.7093174</v>
      </c>
      <c r="J40" s="45">
        <f>+I40*0.06</f>
        <v>83856891.822559044</v>
      </c>
      <c r="K40" s="8">
        <f t="shared" si="3"/>
        <v>81493578.058852315</v>
      </c>
    </row>
    <row r="41" spans="1:13">
      <c r="A41" s="15" t="s">
        <v>99</v>
      </c>
      <c r="B41" s="10">
        <v>162371.05799999999</v>
      </c>
      <c r="C41" s="8">
        <f t="shared" si="8"/>
        <v>81185529</v>
      </c>
      <c r="D41" s="10"/>
      <c r="E41" s="32">
        <f t="shared" si="1"/>
        <v>81185529</v>
      </c>
      <c r="F41" s="8">
        <f t="shared" si="7"/>
        <v>2354380.341</v>
      </c>
      <c r="G41" s="10"/>
      <c r="H41" s="8">
        <f t="shared" si="2"/>
        <v>2354380.341</v>
      </c>
      <c r="I41" s="9">
        <f t="shared" si="4"/>
        <v>1481154773.0503175</v>
      </c>
      <c r="J41" s="45">
        <f>+I41*0.06</f>
        <v>88869286.383019045</v>
      </c>
      <c r="K41" s="8">
        <f t="shared" si="3"/>
        <v>86364709.798852324</v>
      </c>
    </row>
    <row r="42" spans="1:13">
      <c r="A42" s="15" t="s">
        <v>100</v>
      </c>
      <c r="B42" s="10">
        <v>186135.976</v>
      </c>
      <c r="C42" s="8">
        <f t="shared" si="8"/>
        <v>93067988</v>
      </c>
      <c r="D42" s="10"/>
      <c r="E42" s="32">
        <f t="shared" si="1"/>
        <v>93067988</v>
      </c>
      <c r="F42" s="8">
        <f t="shared" si="7"/>
        <v>2698971.6519999998</v>
      </c>
      <c r="G42" s="10"/>
      <c r="H42" s="8">
        <f t="shared" si="2"/>
        <v>2698971.6519999998</v>
      </c>
      <c r="I42" s="9">
        <f t="shared" si="4"/>
        <v>1576921732.7023175</v>
      </c>
      <c r="J42" s="45">
        <f>+I42*0.06</f>
        <v>94615303.96213904</v>
      </c>
      <c r="K42" s="8">
        <f t="shared" si="3"/>
        <v>91948789.078852326</v>
      </c>
    </row>
    <row r="43" spans="1:13">
      <c r="A43" s="15" t="s">
        <v>115</v>
      </c>
      <c r="B43" s="10">
        <v>72133</v>
      </c>
      <c r="C43" s="8">
        <f t="shared" si="8"/>
        <v>36066500</v>
      </c>
      <c r="D43" s="10"/>
      <c r="E43" s="32">
        <f t="shared" si="1"/>
        <v>36066500</v>
      </c>
      <c r="F43" s="8">
        <f>+B43*14.5</f>
        <v>1045928.5</v>
      </c>
      <c r="G43" s="10"/>
      <c r="H43" s="8">
        <f t="shared" si="2"/>
        <v>1045928.5</v>
      </c>
      <c r="I43" s="9">
        <f t="shared" si="4"/>
        <v>1614034161.2023175</v>
      </c>
      <c r="J43" s="45"/>
      <c r="K43" s="8"/>
    </row>
    <row r="44" spans="1:13">
      <c r="A44" s="15" t="s">
        <v>124</v>
      </c>
      <c r="B44" s="14">
        <v>22343.509999999995</v>
      </c>
      <c r="C44" s="8">
        <f t="shared" si="8"/>
        <v>11171754.999999998</v>
      </c>
      <c r="D44" s="52"/>
      <c r="E44" s="32">
        <f t="shared" si="1"/>
        <v>11171754.999999998</v>
      </c>
      <c r="F44" s="8">
        <f>+B44*14.5</f>
        <v>323980.8949999999</v>
      </c>
      <c r="G44" s="52"/>
      <c r="H44" s="8">
        <f t="shared" si="2"/>
        <v>323980.8949999999</v>
      </c>
      <c r="I44" s="9">
        <f t="shared" si="4"/>
        <v>1625529897.0973175</v>
      </c>
      <c r="J44" s="54"/>
      <c r="K44" s="53"/>
    </row>
    <row r="45" spans="1:13" ht="13.5" thickBot="1">
      <c r="A45" s="3" t="s">
        <v>131</v>
      </c>
      <c r="B45" s="28">
        <f>SUM(B8:B44)</f>
        <v>4632583.6090000002</v>
      </c>
      <c r="C45" s="28">
        <f t="shared" ref="C45:H45" si="9">SUM(C8:C44)</f>
        <v>2316291868.5</v>
      </c>
      <c r="D45" s="28">
        <f t="shared" si="9"/>
        <v>742073105.57628751</v>
      </c>
      <c r="E45" s="60">
        <f t="shared" si="9"/>
        <v>1574218762.9237123</v>
      </c>
      <c r="F45" s="28">
        <f t="shared" si="9"/>
        <v>67509530.625500008</v>
      </c>
      <c r="G45" s="28">
        <f t="shared" si="9"/>
        <v>16198396.451895043</v>
      </c>
      <c r="H45" s="60">
        <f t="shared" si="9"/>
        <v>51311134.17360498</v>
      </c>
      <c r="I45" s="28"/>
      <c r="J45" s="28">
        <f>SUM(J8:J43)</f>
        <v>1133589021.9932506</v>
      </c>
      <c r="K45" s="28">
        <f>SUM(K8:K43)</f>
        <v>1101641420.7903306</v>
      </c>
      <c r="M45" s="14"/>
    </row>
    <row r="46" spans="1:13" ht="13.5" thickTop="1">
      <c r="A46" s="57"/>
      <c r="B46" s="61"/>
      <c r="C46" s="61"/>
      <c r="D46" s="61"/>
      <c r="E46" s="61"/>
      <c r="F46" s="61"/>
      <c r="G46" s="61"/>
      <c r="H46" s="61"/>
      <c r="I46" s="62"/>
      <c r="J46" s="62"/>
      <c r="K46" s="61"/>
      <c r="L46" s="57"/>
    </row>
    <row r="47" spans="1:13">
      <c r="A47" s="57"/>
      <c r="B47" s="58"/>
      <c r="C47" s="58"/>
      <c r="D47" s="58"/>
      <c r="E47" s="58"/>
      <c r="F47" s="58"/>
      <c r="G47" s="58"/>
      <c r="H47" s="58"/>
      <c r="I47" s="59"/>
      <c r="J47" s="59"/>
      <c r="K47" s="58"/>
      <c r="L47" s="57"/>
    </row>
    <row r="48" spans="1:13">
      <c r="A48" s="1" t="s">
        <v>117</v>
      </c>
    </row>
    <row r="49" spans="1:13">
      <c r="G49" s="55"/>
    </row>
    <row r="50" spans="1:13">
      <c r="A50" s="47" t="s">
        <v>120</v>
      </c>
      <c r="G50" s="12"/>
      <c r="J50" s="14"/>
      <c r="M50" s="12"/>
    </row>
    <row r="51" spans="1:13">
      <c r="A51" s="47" t="s">
        <v>121</v>
      </c>
      <c r="F51" s="12"/>
    </row>
    <row r="52" spans="1:13">
      <c r="A52" s="47" t="s">
        <v>122</v>
      </c>
    </row>
    <row r="54" spans="1:13">
      <c r="A54" s="7" t="s">
        <v>118</v>
      </c>
      <c r="B54" s="38"/>
      <c r="H54" s="29"/>
    </row>
    <row r="55" spans="1:13">
      <c r="A55" s="7" t="s">
        <v>119</v>
      </c>
      <c r="B55" s="38"/>
    </row>
  </sheetData>
  <pageMargins left="1.75" right="0.28000000000000003" top="0" bottom="0" header="0.5" footer="0.5"/>
  <pageSetup paperSize="5" scale="82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topLeftCell="B1" workbookViewId="0">
      <selection activeCell="H13" sqref="H13"/>
    </sheetView>
  </sheetViews>
  <sheetFormatPr defaultRowHeight="12.75"/>
  <cols>
    <col min="1" max="1" width="60" customWidth="1"/>
    <col min="2" max="2" width="31.5703125" bestFit="1" customWidth="1"/>
    <col min="3" max="4" width="14" bestFit="1" customWidth="1"/>
    <col min="5" max="5" width="19.28515625" bestFit="1" customWidth="1"/>
    <col min="6" max="6" width="78" customWidth="1"/>
    <col min="7" max="7" width="12.28515625" bestFit="1" customWidth="1"/>
    <col min="8" max="8" width="14.42578125" customWidth="1"/>
    <col min="9" max="9" width="19.140625" bestFit="1" customWidth="1"/>
    <col min="10" max="10" width="13.28515625" customWidth="1"/>
    <col min="11" max="11" width="12.28515625" bestFit="1" customWidth="1"/>
    <col min="12" max="12" width="10" bestFit="1" customWidth="1"/>
    <col min="14" max="14" width="11.28515625" bestFit="1" customWidth="1"/>
  </cols>
  <sheetData>
    <row r="1" spans="1:10">
      <c r="B1" s="1" t="s">
        <v>1</v>
      </c>
    </row>
    <row r="2" spans="1:10">
      <c r="B2" s="1" t="s">
        <v>101</v>
      </c>
    </row>
    <row r="3" spans="1:10">
      <c r="C3" s="7" t="s">
        <v>9</v>
      </c>
      <c r="E3" s="7" t="s">
        <v>53</v>
      </c>
      <c r="F3" s="7" t="s">
        <v>10</v>
      </c>
    </row>
    <row r="4" spans="1:10">
      <c r="A4" s="3" t="s">
        <v>2</v>
      </c>
      <c r="B4" s="3" t="s">
        <v>3</v>
      </c>
      <c r="C4" s="3" t="s">
        <v>7</v>
      </c>
      <c r="D4" s="3" t="s">
        <v>5</v>
      </c>
      <c r="E4" s="3" t="s">
        <v>6</v>
      </c>
      <c r="F4" s="3" t="s">
        <v>7</v>
      </c>
      <c r="G4" s="3" t="s">
        <v>5</v>
      </c>
      <c r="H4" s="3" t="s">
        <v>6</v>
      </c>
      <c r="I4" s="3" t="s">
        <v>11</v>
      </c>
    </row>
    <row r="5" spans="1:10" ht="13.5" thickBot="1">
      <c r="A5" s="5"/>
      <c r="B5" s="5" t="s">
        <v>4</v>
      </c>
      <c r="C5" s="5" t="s">
        <v>8</v>
      </c>
      <c r="D5" s="5"/>
      <c r="E5" s="5"/>
      <c r="F5" s="5" t="s">
        <v>8</v>
      </c>
      <c r="G5" s="5"/>
      <c r="H5" s="5"/>
      <c r="I5" s="6"/>
    </row>
    <row r="6" spans="1:10">
      <c r="A6" s="4">
        <v>1995</v>
      </c>
      <c r="B6" s="8">
        <v>53291.94</v>
      </c>
      <c r="C6" s="8">
        <f t="shared" ref="C6:C15" si="0">+B6*500</f>
        <v>26645970</v>
      </c>
      <c r="D6" s="8"/>
      <c r="E6" s="32">
        <f t="shared" ref="E6:E41" si="1">+C6-D6</f>
        <v>26645970</v>
      </c>
      <c r="F6" s="8">
        <f>+B6*14.5</f>
        <v>772733.13</v>
      </c>
      <c r="G6" s="8"/>
      <c r="H6" s="8">
        <f>+F6-G6</f>
        <v>772733.13</v>
      </c>
      <c r="I6" s="9">
        <f>+H6+E6</f>
        <v>27418703.129999999</v>
      </c>
      <c r="J6" s="12"/>
    </row>
    <row r="7" spans="1:10">
      <c r="A7" s="2">
        <v>1996</v>
      </c>
      <c r="B7" s="10">
        <v>251503.24</v>
      </c>
      <c r="C7" s="8">
        <f t="shared" si="0"/>
        <v>125751620</v>
      </c>
      <c r="D7" s="10"/>
      <c r="E7" s="32">
        <f t="shared" si="1"/>
        <v>125751620</v>
      </c>
      <c r="F7" s="8">
        <f>3018039+754510</f>
        <v>3772549</v>
      </c>
      <c r="G7" s="10"/>
      <c r="H7" s="8">
        <f t="shared" ref="H7:H41" si="2">+F7-G7</f>
        <v>3772549</v>
      </c>
      <c r="I7" s="9">
        <f>+I6+E7+H7</f>
        <v>156942872.13</v>
      </c>
      <c r="J7" s="12"/>
    </row>
    <row r="8" spans="1:10">
      <c r="A8" s="2">
        <v>1997</v>
      </c>
      <c r="B8" s="10">
        <v>243167.35999999999</v>
      </c>
      <c r="C8" s="8">
        <f t="shared" si="0"/>
        <v>121583680</v>
      </c>
      <c r="D8" s="10"/>
      <c r="E8" s="32">
        <f t="shared" si="1"/>
        <v>121583680</v>
      </c>
      <c r="F8" s="8">
        <f>729502+2918008</f>
        <v>3647510</v>
      </c>
      <c r="G8" s="10"/>
      <c r="H8" s="8">
        <f t="shared" si="2"/>
        <v>3647510</v>
      </c>
      <c r="I8" s="9">
        <f t="shared" ref="I8:I41" si="3">+I7+E8+H8</f>
        <v>282174062.13</v>
      </c>
      <c r="J8" s="12"/>
    </row>
    <row r="9" spans="1:10">
      <c r="A9" s="2">
        <v>1998</v>
      </c>
      <c r="B9" s="10">
        <v>236771.98</v>
      </c>
      <c r="C9" s="8">
        <f t="shared" si="0"/>
        <v>118385990</v>
      </c>
      <c r="D9" s="10"/>
      <c r="E9" s="32">
        <f t="shared" si="1"/>
        <v>118385990</v>
      </c>
      <c r="F9" s="8">
        <f>+B9*14.5</f>
        <v>3433193.71</v>
      </c>
      <c r="G9" s="10"/>
      <c r="H9" s="8">
        <f t="shared" si="2"/>
        <v>3433193.71</v>
      </c>
      <c r="I9" s="9">
        <f t="shared" si="3"/>
        <v>403993245.83999997</v>
      </c>
      <c r="J9" s="12"/>
    </row>
    <row r="10" spans="1:10">
      <c r="A10" s="2">
        <v>1999</v>
      </c>
      <c r="B10" s="10">
        <v>270941.32</v>
      </c>
      <c r="C10" s="8">
        <f t="shared" si="0"/>
        <v>135470660</v>
      </c>
      <c r="D10" s="10"/>
      <c r="E10" s="32">
        <f t="shared" si="1"/>
        <v>135470660</v>
      </c>
      <c r="F10" s="8">
        <f>+B10*14.5</f>
        <v>3928649.14</v>
      </c>
      <c r="G10" s="10"/>
      <c r="H10" s="8">
        <f t="shared" si="2"/>
        <v>3928649.14</v>
      </c>
      <c r="I10" s="9">
        <f t="shared" si="3"/>
        <v>543392554.9799999</v>
      </c>
      <c r="J10" s="12"/>
    </row>
    <row r="11" spans="1:10">
      <c r="A11" s="2">
        <v>2000</v>
      </c>
      <c r="B11" s="10">
        <v>277266.87</v>
      </c>
      <c r="C11" s="8">
        <f t="shared" si="0"/>
        <v>138633435</v>
      </c>
      <c r="D11" s="10"/>
      <c r="E11" s="32">
        <f t="shared" si="1"/>
        <v>138633435</v>
      </c>
      <c r="F11" s="8">
        <f>782897+3327202</f>
        <v>4110099</v>
      </c>
      <c r="G11" s="10"/>
      <c r="H11" s="8">
        <f t="shared" si="2"/>
        <v>4110099</v>
      </c>
      <c r="I11" s="9">
        <f t="shared" si="3"/>
        <v>686136088.9799999</v>
      </c>
      <c r="J11" s="12"/>
    </row>
    <row r="12" spans="1:10">
      <c r="A12" s="2">
        <v>2001</v>
      </c>
      <c r="B12" s="10">
        <v>252441.8</v>
      </c>
      <c r="C12" s="8">
        <f t="shared" si="0"/>
        <v>126220900</v>
      </c>
      <c r="D12" s="10"/>
      <c r="E12" s="32">
        <f t="shared" si="1"/>
        <v>126220900</v>
      </c>
      <c r="F12" s="8">
        <f>+B12*14.5</f>
        <v>3660406.0999999996</v>
      </c>
      <c r="G12" s="10"/>
      <c r="H12" s="8">
        <f t="shared" si="2"/>
        <v>3660406.0999999996</v>
      </c>
      <c r="I12" s="9">
        <f t="shared" si="3"/>
        <v>816017395.07999992</v>
      </c>
      <c r="J12" s="12"/>
    </row>
    <row r="13" spans="1:10">
      <c r="A13" s="2">
        <v>2002</v>
      </c>
      <c r="B13" s="10">
        <v>282970.79599999997</v>
      </c>
      <c r="C13" s="8">
        <f t="shared" si="0"/>
        <v>141485398</v>
      </c>
      <c r="D13" s="10">
        <f>59715500+36206500</f>
        <v>95922000</v>
      </c>
      <c r="E13" s="32">
        <f t="shared" si="1"/>
        <v>45563398</v>
      </c>
      <c r="F13" s="8">
        <f>+B13*14.5</f>
        <v>4103076.5419999994</v>
      </c>
      <c r="G13" s="10">
        <f>98699648-D13</f>
        <v>2777648</v>
      </c>
      <c r="H13" s="8">
        <f t="shared" si="2"/>
        <v>1325428.5419999994</v>
      </c>
      <c r="I13" s="9">
        <f t="shared" si="3"/>
        <v>862906221.62199998</v>
      </c>
      <c r="J13" s="12"/>
    </row>
    <row r="14" spans="1:10">
      <c r="A14" s="2">
        <v>2003</v>
      </c>
      <c r="B14" s="10">
        <v>311751.24900000001</v>
      </c>
      <c r="C14" s="8">
        <f t="shared" si="0"/>
        <v>155875624.5</v>
      </c>
      <c r="D14" s="10"/>
      <c r="E14" s="32">
        <f t="shared" si="1"/>
        <v>155875624.5</v>
      </c>
      <c r="F14" s="8">
        <f>+B14*14.5</f>
        <v>4520393.1105000004</v>
      </c>
      <c r="G14" s="10"/>
      <c r="H14" s="8">
        <f t="shared" si="2"/>
        <v>4520393.1105000004</v>
      </c>
      <c r="I14" s="9">
        <f t="shared" si="3"/>
        <v>1023302239.2325</v>
      </c>
      <c r="J14" s="12"/>
    </row>
    <row r="15" spans="1:10">
      <c r="A15" s="2">
        <v>2004</v>
      </c>
      <c r="B15" s="10">
        <v>289584</v>
      </c>
      <c r="C15" s="8">
        <f t="shared" si="0"/>
        <v>144792000</v>
      </c>
      <c r="D15" s="10"/>
      <c r="E15" s="32">
        <f t="shared" si="1"/>
        <v>144792000</v>
      </c>
      <c r="F15" s="8">
        <f>+B15*14.5</f>
        <v>4198968</v>
      </c>
      <c r="G15" s="10"/>
      <c r="H15" s="8">
        <f t="shared" si="2"/>
        <v>4198968</v>
      </c>
      <c r="I15" s="9">
        <f t="shared" si="3"/>
        <v>1172293207.2325001</v>
      </c>
      <c r="J15" s="12"/>
    </row>
    <row r="16" spans="1:10">
      <c r="A16" s="11">
        <v>38443</v>
      </c>
      <c r="B16" s="10">
        <v>65523.82</v>
      </c>
      <c r="C16" s="8">
        <v>32761974</v>
      </c>
      <c r="D16" s="10">
        <v>13874161</v>
      </c>
      <c r="E16" s="32">
        <f t="shared" si="1"/>
        <v>18887813</v>
      </c>
      <c r="F16" s="8">
        <f>163811+786288</f>
        <v>950099</v>
      </c>
      <c r="G16" s="10"/>
      <c r="H16" s="8">
        <f t="shared" si="2"/>
        <v>950099</v>
      </c>
      <c r="I16" s="9">
        <f t="shared" si="3"/>
        <v>1192131119.2325001</v>
      </c>
      <c r="J16" s="12"/>
    </row>
    <row r="17" spans="1:15">
      <c r="A17" s="15" t="s">
        <v>12</v>
      </c>
      <c r="B17" s="10"/>
      <c r="C17" s="8">
        <f t="shared" ref="C17:C24" si="4">+B17*500</f>
        <v>0</v>
      </c>
      <c r="D17" s="10">
        <v>50000000</v>
      </c>
      <c r="E17" s="32">
        <f t="shared" si="1"/>
        <v>-50000000</v>
      </c>
      <c r="F17" s="8">
        <f t="shared" ref="F17:F40" si="5">+B17*14.5</f>
        <v>0</v>
      </c>
      <c r="G17" s="10"/>
      <c r="H17" s="8">
        <f t="shared" si="2"/>
        <v>0</v>
      </c>
      <c r="I17" s="9">
        <f t="shared" si="3"/>
        <v>1142131119.2325001</v>
      </c>
      <c r="J17" s="12"/>
    </row>
    <row r="18" spans="1:15">
      <c r="A18" s="15" t="s">
        <v>13</v>
      </c>
      <c r="B18" s="10"/>
      <c r="C18" s="8">
        <f t="shared" si="4"/>
        <v>0</v>
      </c>
      <c r="D18" s="10">
        <v>20000000</v>
      </c>
      <c r="E18" s="32">
        <f t="shared" si="1"/>
        <v>-20000000</v>
      </c>
      <c r="F18" s="8">
        <f t="shared" si="5"/>
        <v>0</v>
      </c>
      <c r="G18" s="10"/>
      <c r="H18" s="8">
        <f t="shared" si="2"/>
        <v>0</v>
      </c>
      <c r="I18" s="9">
        <f t="shared" si="3"/>
        <v>1122131119.2325001</v>
      </c>
      <c r="J18" s="12"/>
    </row>
    <row r="19" spans="1:15">
      <c r="A19" s="15" t="s">
        <v>14</v>
      </c>
      <c r="B19" s="10">
        <v>119630.18</v>
      </c>
      <c r="C19" s="8">
        <f t="shared" si="4"/>
        <v>59815090</v>
      </c>
      <c r="D19" s="10">
        <f>(61514998/514.5*500)+195850+175164+224344+668473+0</f>
        <v>61045170.164237119</v>
      </c>
      <c r="E19" s="32">
        <f t="shared" si="1"/>
        <v>-1230080.1642371193</v>
      </c>
      <c r="F19" s="8">
        <f t="shared" si="5"/>
        <v>1734637.6099999999</v>
      </c>
      <c r="G19" s="10">
        <f>(61514998*14.5/514.5)-195850-175164-224344-668473</f>
        <v>469827.83576287655</v>
      </c>
      <c r="H19" s="8">
        <f t="shared" si="2"/>
        <v>1264809.7742371233</v>
      </c>
      <c r="I19" s="9">
        <f t="shared" si="3"/>
        <v>1122165848.8425002</v>
      </c>
      <c r="J19" s="12"/>
      <c r="L19" s="12"/>
      <c r="N19" s="12"/>
    </row>
    <row r="20" spans="1:15">
      <c r="A20" s="15" t="s">
        <v>15</v>
      </c>
      <c r="B20" s="10">
        <v>45261.84</v>
      </c>
      <c r="C20" s="8">
        <f t="shared" si="4"/>
        <v>22630920</v>
      </c>
      <c r="D20" s="10">
        <f>23287218*500/514.5+4</f>
        <v>22630925.282798834</v>
      </c>
      <c r="E20" s="32">
        <f t="shared" si="1"/>
        <v>-5.2827988341450691</v>
      </c>
      <c r="F20" s="8">
        <f t="shared" si="5"/>
        <v>656296.67999999993</v>
      </c>
      <c r="G20" s="10">
        <f>23287219*14.5/514.5-5</f>
        <v>656291.74538386788</v>
      </c>
      <c r="H20" s="8">
        <f t="shared" si="2"/>
        <v>4.9346161320572719</v>
      </c>
      <c r="I20" s="9">
        <f t="shared" si="3"/>
        <v>1122165848.4943175</v>
      </c>
      <c r="J20" s="12"/>
    </row>
    <row r="21" spans="1:15">
      <c r="A21" s="15">
        <v>2006</v>
      </c>
      <c r="B21" s="10">
        <v>238590.35</v>
      </c>
      <c r="C21" s="8">
        <f t="shared" si="4"/>
        <v>119295175</v>
      </c>
      <c r="D21" s="10">
        <f>45707255/514.5*500+24</f>
        <v>44419125.06899903</v>
      </c>
      <c r="E21" s="32">
        <f t="shared" si="1"/>
        <v>74876049.931000978</v>
      </c>
      <c r="F21" s="8">
        <f t="shared" si="5"/>
        <v>3459560.0750000002</v>
      </c>
      <c r="G21" s="10">
        <f>45707255/514.5*14.5-24</f>
        <v>1288129.9310009719</v>
      </c>
      <c r="H21" s="8">
        <f t="shared" si="2"/>
        <v>2171430.143999028</v>
      </c>
      <c r="I21" s="9">
        <f t="shared" si="3"/>
        <v>1199213328.5693176</v>
      </c>
      <c r="J21" s="12"/>
      <c r="M21" s="12"/>
      <c r="N21" s="12"/>
    </row>
    <row r="22" spans="1:15">
      <c r="A22" s="15" t="s">
        <v>16</v>
      </c>
      <c r="B22" s="10">
        <v>87571.62</v>
      </c>
      <c r="C22" s="8">
        <f t="shared" si="4"/>
        <v>43785810</v>
      </c>
      <c r="D22" s="10">
        <f>77047479*500/514.5</f>
        <v>74876072.886297375</v>
      </c>
      <c r="E22" s="32">
        <f t="shared" si="1"/>
        <v>-31090262.886297375</v>
      </c>
      <c r="F22" s="8">
        <f t="shared" si="5"/>
        <v>1269788.49</v>
      </c>
      <c r="G22" s="10">
        <f>77047479*14.5/514.5</f>
        <v>2171406.1137026241</v>
      </c>
      <c r="H22" s="8">
        <f t="shared" si="2"/>
        <v>-901617.62370262411</v>
      </c>
      <c r="I22" s="9">
        <f t="shared" si="3"/>
        <v>1167221448.0593176</v>
      </c>
      <c r="J22" s="12"/>
    </row>
    <row r="23" spans="1:15">
      <c r="A23" s="15" t="s">
        <v>17</v>
      </c>
      <c r="B23" s="10">
        <v>158444.73000000001</v>
      </c>
      <c r="C23" s="8">
        <f t="shared" si="4"/>
        <v>79222365</v>
      </c>
      <c r="D23" s="10">
        <f>47973696*500/514.5-21</f>
        <v>46621646.638483964</v>
      </c>
      <c r="E23" s="32">
        <f t="shared" si="1"/>
        <v>32600718.361516036</v>
      </c>
      <c r="F23" s="8">
        <f t="shared" si="5"/>
        <v>2297448.585</v>
      </c>
      <c r="G23" s="10">
        <f>47973696*14.5/514.5+21</f>
        <v>1352049.3615160349</v>
      </c>
      <c r="H23" s="8">
        <f t="shared" si="2"/>
        <v>945399.22348396503</v>
      </c>
      <c r="I23" s="9">
        <f t="shared" si="3"/>
        <v>1200767565.6443176</v>
      </c>
      <c r="J23" s="12"/>
      <c r="L23" s="12"/>
    </row>
    <row r="24" spans="1:15">
      <c r="A24" s="15" t="s">
        <v>18</v>
      </c>
      <c r="B24" s="10">
        <v>86369.17</v>
      </c>
      <c r="C24" s="8">
        <f t="shared" si="4"/>
        <v>43184585</v>
      </c>
      <c r="D24" s="10"/>
      <c r="E24" s="32">
        <f t="shared" si="1"/>
        <v>43184585</v>
      </c>
      <c r="F24" s="8">
        <f t="shared" si="5"/>
        <v>1252352.9650000001</v>
      </c>
      <c r="G24" s="10"/>
      <c r="H24" s="8">
        <f t="shared" si="2"/>
        <v>1252352.9650000001</v>
      </c>
      <c r="I24" s="9">
        <f t="shared" si="3"/>
        <v>1245204503.6093175</v>
      </c>
      <c r="J24" s="12"/>
    </row>
    <row r="25" spans="1:15">
      <c r="A25" s="15" t="s">
        <v>19</v>
      </c>
      <c r="C25" s="8"/>
      <c r="D25" s="10">
        <f>33730416*500/514.5</f>
        <v>32779801.749271136</v>
      </c>
      <c r="E25" s="32">
        <f t="shared" si="1"/>
        <v>-32779801.749271136</v>
      </c>
      <c r="F25" s="8">
        <f t="shared" si="5"/>
        <v>0</v>
      </c>
      <c r="G25" s="10">
        <f>33730416/514.5*14.5</f>
        <v>950614.25072886294</v>
      </c>
      <c r="H25" s="8">
        <f t="shared" si="2"/>
        <v>-950614.25072886294</v>
      </c>
      <c r="I25" s="9">
        <f t="shared" si="3"/>
        <v>1211474087.6093175</v>
      </c>
      <c r="J25" s="12"/>
      <c r="K25" s="12"/>
      <c r="O25">
        <f>83560+5448+92366+69100+9955+35000+149066</f>
        <v>444495</v>
      </c>
    </row>
    <row r="26" spans="1:15">
      <c r="A26" s="15" t="s">
        <v>29</v>
      </c>
      <c r="B26" s="10">
        <v>118991.73</v>
      </c>
      <c r="C26" s="8">
        <f t="shared" ref="C26:C41" si="6">+B26*500</f>
        <v>59495865</v>
      </c>
      <c r="D26" s="10"/>
      <c r="E26" s="32">
        <f t="shared" si="1"/>
        <v>59495865</v>
      </c>
      <c r="F26" s="8">
        <f t="shared" si="5"/>
        <v>1725380.085</v>
      </c>
      <c r="G26" s="10"/>
      <c r="H26" s="8">
        <f t="shared" si="2"/>
        <v>1725380.085</v>
      </c>
      <c r="I26" s="9">
        <f t="shared" si="3"/>
        <v>1272695332.6943176</v>
      </c>
      <c r="J26" s="12"/>
    </row>
    <row r="27" spans="1:15">
      <c r="A27" s="15" t="s">
        <v>20</v>
      </c>
      <c r="B27" s="10"/>
      <c r="C27" s="8">
        <f t="shared" si="6"/>
        <v>0</v>
      </c>
      <c r="D27" s="10">
        <f>75881463*500/514.5</f>
        <v>73742918.367346942</v>
      </c>
      <c r="E27" s="32">
        <f t="shared" si="1"/>
        <v>-73742918.367346942</v>
      </c>
      <c r="F27" s="8">
        <f t="shared" si="5"/>
        <v>0</v>
      </c>
      <c r="G27" s="10">
        <f>75881463*14.5/514.5</f>
        <v>2138544.6326530613</v>
      </c>
      <c r="H27" s="8">
        <f t="shared" si="2"/>
        <v>-2138544.6326530613</v>
      </c>
      <c r="I27" s="9">
        <f t="shared" si="3"/>
        <v>1196813869.6943176</v>
      </c>
      <c r="J27" s="12"/>
      <c r="L27" s="12"/>
    </row>
    <row r="28" spans="1:15">
      <c r="A28" s="15" t="s">
        <v>21</v>
      </c>
      <c r="B28" s="10">
        <v>148515.29</v>
      </c>
      <c r="C28" s="8">
        <f t="shared" si="6"/>
        <v>74257645</v>
      </c>
      <c r="D28" s="10"/>
      <c r="E28" s="32">
        <f t="shared" si="1"/>
        <v>74257645</v>
      </c>
      <c r="F28" s="8">
        <f t="shared" si="5"/>
        <v>2153471.7050000001</v>
      </c>
      <c r="G28" s="10"/>
      <c r="H28" s="8">
        <f t="shared" si="2"/>
        <v>2153471.7050000001</v>
      </c>
      <c r="I28" s="9">
        <f t="shared" si="3"/>
        <v>1273224986.3993175</v>
      </c>
      <c r="J28" s="12"/>
    </row>
    <row r="29" spans="1:15">
      <c r="A29" s="15" t="s">
        <v>22</v>
      </c>
      <c r="B29" s="10"/>
      <c r="C29" s="8">
        <f t="shared" si="6"/>
        <v>0</v>
      </c>
      <c r="D29" s="10">
        <f>20000000*500/514.5</f>
        <v>19436345.966958214</v>
      </c>
      <c r="E29" s="32">
        <f t="shared" si="1"/>
        <v>-19436345.966958214</v>
      </c>
      <c r="F29" s="8">
        <f t="shared" si="5"/>
        <v>0</v>
      </c>
      <c r="G29" s="10">
        <f>20000000*14.5/514.5</f>
        <v>563654.03304178815</v>
      </c>
      <c r="H29" s="8">
        <f t="shared" si="2"/>
        <v>-563654.03304178815</v>
      </c>
      <c r="I29" s="9">
        <f t="shared" si="3"/>
        <v>1253224986.3993175</v>
      </c>
      <c r="J29" s="12"/>
    </row>
    <row r="30" spans="1:15">
      <c r="A30" s="15" t="s">
        <v>23</v>
      </c>
      <c r="B30" s="10"/>
      <c r="C30" s="8">
        <f t="shared" si="6"/>
        <v>0</v>
      </c>
      <c r="D30" s="10">
        <v>10457001</v>
      </c>
      <c r="E30" s="32">
        <f t="shared" si="1"/>
        <v>-10457001</v>
      </c>
      <c r="F30" s="8">
        <f t="shared" si="5"/>
        <v>0</v>
      </c>
      <c r="G30" s="10"/>
      <c r="H30" s="8">
        <f t="shared" si="2"/>
        <v>0</v>
      </c>
      <c r="I30" s="9">
        <f t="shared" si="3"/>
        <v>1242767985.3993175</v>
      </c>
      <c r="J30" s="12"/>
    </row>
    <row r="31" spans="1:15">
      <c r="A31" s="15" t="s">
        <v>24</v>
      </c>
      <c r="B31" s="10"/>
      <c r="C31" s="8">
        <f t="shared" si="6"/>
        <v>0</v>
      </c>
      <c r="D31" s="10">
        <v>44191022</v>
      </c>
      <c r="E31" s="32">
        <f t="shared" si="1"/>
        <v>-44191022</v>
      </c>
      <c r="F31" s="8">
        <f t="shared" si="5"/>
        <v>0</v>
      </c>
      <c r="G31" s="10"/>
      <c r="H31" s="8">
        <f t="shared" si="2"/>
        <v>0</v>
      </c>
      <c r="I31" s="9">
        <f t="shared" si="3"/>
        <v>1198576963.3993175</v>
      </c>
      <c r="J31" s="12"/>
    </row>
    <row r="32" spans="1:15">
      <c r="A32" s="15" t="s">
        <v>25</v>
      </c>
      <c r="B32" s="10">
        <v>70813.490000000005</v>
      </c>
      <c r="C32" s="8">
        <f t="shared" si="6"/>
        <v>35406745</v>
      </c>
      <c r="D32" s="10"/>
      <c r="E32" s="32">
        <f t="shared" si="1"/>
        <v>35406745</v>
      </c>
      <c r="F32" s="8">
        <f t="shared" si="5"/>
        <v>1026795.6050000001</v>
      </c>
      <c r="G32" s="10"/>
      <c r="H32" s="8">
        <f t="shared" si="2"/>
        <v>1026795.6050000001</v>
      </c>
      <c r="I32" s="9">
        <f t="shared" si="3"/>
        <v>1235010504.0043175</v>
      </c>
      <c r="J32" s="12"/>
    </row>
    <row r="33" spans="1:11">
      <c r="A33" s="15" t="s">
        <v>60</v>
      </c>
      <c r="B33" s="10"/>
      <c r="C33" s="8">
        <f t="shared" si="6"/>
        <v>0</v>
      </c>
      <c r="D33" s="10">
        <f>112844658*500/514.5</f>
        <v>109664390.67055394</v>
      </c>
      <c r="E33" s="32">
        <f t="shared" si="1"/>
        <v>-109664390.67055394</v>
      </c>
      <c r="F33" s="8">
        <f t="shared" si="5"/>
        <v>0</v>
      </c>
      <c r="G33" s="10">
        <f>112844658*14.5/514.5</f>
        <v>3180267.3294460643</v>
      </c>
      <c r="H33" s="8">
        <f t="shared" si="2"/>
        <v>-3180267.3294460643</v>
      </c>
      <c r="I33" s="9">
        <f t="shared" si="3"/>
        <v>1122165846.0043175</v>
      </c>
      <c r="J33" s="12"/>
    </row>
    <row r="34" spans="1:11">
      <c r="A34" s="15" t="s">
        <v>61</v>
      </c>
      <c r="B34" s="10"/>
      <c r="C34" s="8">
        <f t="shared" si="6"/>
        <v>0</v>
      </c>
      <c r="D34" s="10">
        <f>6022094*500/514.5</f>
        <v>5852375.1214771625</v>
      </c>
      <c r="E34" s="32">
        <f t="shared" si="1"/>
        <v>-5852375.1214771625</v>
      </c>
      <c r="F34" s="8">
        <f t="shared" si="5"/>
        <v>0</v>
      </c>
      <c r="G34" s="10">
        <f>6022094*14.5/514.5</f>
        <v>169718.87852283771</v>
      </c>
      <c r="H34" s="8">
        <f t="shared" si="2"/>
        <v>-169718.87852283771</v>
      </c>
      <c r="I34" s="9">
        <f t="shared" si="3"/>
        <v>1116143752.0043175</v>
      </c>
      <c r="J34" s="12"/>
    </row>
    <row r="35" spans="1:11">
      <c r="A35" s="15" t="s">
        <v>62</v>
      </c>
      <c r="B35" s="10"/>
      <c r="C35" s="8">
        <f t="shared" si="6"/>
        <v>0</v>
      </c>
      <c r="D35" s="10">
        <f>17040394*500/514.5</f>
        <v>16560149.659863945</v>
      </c>
      <c r="E35" s="32">
        <f t="shared" si="1"/>
        <v>-16560149.659863945</v>
      </c>
      <c r="F35" s="8">
        <f t="shared" si="5"/>
        <v>0</v>
      </c>
      <c r="G35" s="10">
        <f>17040394*14.5/514.5</f>
        <v>480244.34013605444</v>
      </c>
      <c r="H35" s="8">
        <f t="shared" si="2"/>
        <v>-480244.34013605444</v>
      </c>
      <c r="I35" s="9">
        <f t="shared" si="3"/>
        <v>1099103358.0043175</v>
      </c>
      <c r="J35" s="12"/>
    </row>
    <row r="36" spans="1:11">
      <c r="A36" s="15" t="s">
        <v>26</v>
      </c>
      <c r="B36" s="10">
        <v>196160.76</v>
      </c>
      <c r="C36" s="8">
        <f t="shared" si="6"/>
        <v>98080380</v>
      </c>
      <c r="D36" s="10"/>
      <c r="E36" s="32">
        <f t="shared" si="1"/>
        <v>98080380</v>
      </c>
      <c r="F36" s="8">
        <f t="shared" si="5"/>
        <v>2844331.02</v>
      </c>
      <c r="G36" s="10"/>
      <c r="H36" s="8">
        <f t="shared" si="2"/>
        <v>2844331.02</v>
      </c>
      <c r="I36" s="9">
        <f t="shared" si="3"/>
        <v>1200028069.0243175</v>
      </c>
      <c r="J36" s="12"/>
    </row>
    <row r="37" spans="1:11">
      <c r="A37" s="15" t="s">
        <v>27</v>
      </c>
      <c r="B37" s="10">
        <v>211574.64</v>
      </c>
      <c r="C37" s="8">
        <f t="shared" si="6"/>
        <v>105787320</v>
      </c>
      <c r="D37" s="10"/>
      <c r="E37" s="32">
        <f t="shared" si="1"/>
        <v>105787320</v>
      </c>
      <c r="F37" s="8">
        <f t="shared" si="5"/>
        <v>3067832.2800000003</v>
      </c>
      <c r="G37" s="10"/>
      <c r="H37" s="8">
        <f t="shared" si="2"/>
        <v>3067832.2800000003</v>
      </c>
      <c r="I37" s="9">
        <f t="shared" si="3"/>
        <v>1308883221.3043175</v>
      </c>
      <c r="J37" s="12"/>
    </row>
    <row r="38" spans="1:11">
      <c r="A38" s="15" t="s">
        <v>28</v>
      </c>
      <c r="B38" s="10">
        <v>172461.89</v>
      </c>
      <c r="C38" s="8">
        <f t="shared" si="6"/>
        <v>86230945</v>
      </c>
      <c r="D38" s="10"/>
      <c r="E38" s="32">
        <f t="shared" si="1"/>
        <v>86230945</v>
      </c>
      <c r="F38" s="8">
        <f t="shared" si="5"/>
        <v>2500697.4050000003</v>
      </c>
      <c r="G38" s="10"/>
      <c r="H38" s="8">
        <f t="shared" si="2"/>
        <v>2500697.4050000003</v>
      </c>
      <c r="I38" s="9">
        <f t="shared" si="3"/>
        <v>1397614863.7093174</v>
      </c>
      <c r="J38" s="12"/>
    </row>
    <row r="39" spans="1:11">
      <c r="A39" s="15" t="s">
        <v>99</v>
      </c>
      <c r="B39" s="10">
        <v>162371.05799999999</v>
      </c>
      <c r="C39" s="8">
        <f t="shared" si="6"/>
        <v>81185529</v>
      </c>
      <c r="D39" s="10"/>
      <c r="E39" s="32">
        <f t="shared" si="1"/>
        <v>81185529</v>
      </c>
      <c r="F39" s="8">
        <f t="shared" si="5"/>
        <v>2354380.341</v>
      </c>
      <c r="G39" s="10"/>
      <c r="H39" s="8">
        <f t="shared" si="2"/>
        <v>2354380.341</v>
      </c>
      <c r="I39" s="9">
        <f t="shared" si="3"/>
        <v>1481154773.0503175</v>
      </c>
      <c r="J39" s="12"/>
    </row>
    <row r="40" spans="1:11">
      <c r="A40" s="15" t="s">
        <v>100</v>
      </c>
      <c r="B40" s="10">
        <v>186135.976</v>
      </c>
      <c r="C40" s="8">
        <f t="shared" si="6"/>
        <v>93067988</v>
      </c>
      <c r="D40" s="10"/>
      <c r="E40" s="32">
        <f t="shared" si="1"/>
        <v>93067988</v>
      </c>
      <c r="F40" s="8">
        <f t="shared" si="5"/>
        <v>2698971.6519999998</v>
      </c>
      <c r="G40" s="10"/>
      <c r="H40" s="8">
        <f t="shared" si="2"/>
        <v>2698971.6519999998</v>
      </c>
      <c r="I40" s="9">
        <f t="shared" si="3"/>
        <v>1576921732.7023175</v>
      </c>
      <c r="J40" s="12"/>
    </row>
    <row r="41" spans="1:11">
      <c r="A41" s="15" t="s">
        <v>115</v>
      </c>
      <c r="B41" s="10">
        <v>72133</v>
      </c>
      <c r="C41" s="8">
        <f t="shared" si="6"/>
        <v>36066500</v>
      </c>
      <c r="D41" s="10"/>
      <c r="E41" s="32">
        <f t="shared" si="1"/>
        <v>36066500</v>
      </c>
      <c r="F41" s="8">
        <f>+B41*14.5</f>
        <v>1045928.5</v>
      </c>
      <c r="G41" s="10"/>
      <c r="H41" s="8">
        <f t="shared" si="2"/>
        <v>1045928.5</v>
      </c>
      <c r="I41" s="9">
        <f t="shared" si="3"/>
        <v>1614034161.2023175</v>
      </c>
      <c r="J41" s="12"/>
      <c r="K41" s="12"/>
    </row>
    <row r="42" spans="1:11" ht="13.5" thickBot="1">
      <c r="A42" s="2"/>
      <c r="B42" s="13">
        <f t="shared" ref="B42:H42" si="7">SUM(B6:B41)</f>
        <v>4610240.0990000004</v>
      </c>
      <c r="C42" s="13">
        <f t="shared" si="7"/>
        <v>2305120113.5</v>
      </c>
      <c r="D42" s="13">
        <f t="shared" si="7"/>
        <v>742073105.57628751</v>
      </c>
      <c r="E42" s="33">
        <f t="shared" si="7"/>
        <v>1563047007.9237123</v>
      </c>
      <c r="F42" s="13">
        <f t="shared" si="7"/>
        <v>67185549.730500013</v>
      </c>
      <c r="G42" s="13">
        <f t="shared" si="7"/>
        <v>16198396.451895043</v>
      </c>
      <c r="H42" s="13">
        <f t="shared" si="7"/>
        <v>50987153.278604977</v>
      </c>
      <c r="I42" s="10"/>
      <c r="J42" s="12"/>
    </row>
    <row r="43" spans="1:11" ht="13.5" thickTop="1">
      <c r="A43" s="2"/>
      <c r="B43" s="8"/>
      <c r="C43" s="8"/>
      <c r="D43" s="8"/>
      <c r="E43" s="8"/>
      <c r="F43" s="8"/>
      <c r="G43" s="8"/>
      <c r="H43" s="8"/>
      <c r="I43" s="9"/>
      <c r="J43" s="12"/>
    </row>
    <row r="44" spans="1:11">
      <c r="A44" s="2"/>
      <c r="B44" s="10"/>
      <c r="C44" s="8"/>
      <c r="D44" s="10"/>
      <c r="E44" s="8"/>
      <c r="F44" s="8"/>
      <c r="G44" s="10"/>
      <c r="H44" s="8"/>
      <c r="I44" s="9"/>
      <c r="J44" s="12"/>
    </row>
    <row r="45" spans="1:11">
      <c r="A45" s="2"/>
      <c r="B45" s="10"/>
      <c r="C45" s="8"/>
      <c r="D45" s="10"/>
      <c r="E45" s="8"/>
      <c r="F45" s="8"/>
      <c r="G45" s="10"/>
      <c r="H45" s="8"/>
      <c r="I45" s="9"/>
      <c r="J45" s="12"/>
    </row>
    <row r="46" spans="1:11">
      <c r="A46" s="2"/>
      <c r="B46" s="10"/>
      <c r="C46" s="8"/>
      <c r="D46" s="10"/>
      <c r="E46" s="8"/>
      <c r="F46" s="8"/>
      <c r="G46" s="10"/>
      <c r="H46" s="8"/>
      <c r="I46" s="9"/>
      <c r="J46" s="12"/>
    </row>
    <row r="47" spans="1:11">
      <c r="A47" s="2"/>
      <c r="B47" s="10"/>
      <c r="C47" s="8"/>
      <c r="D47" s="10"/>
      <c r="E47" s="8"/>
      <c r="F47" s="8"/>
      <c r="G47" s="10"/>
      <c r="H47" s="8"/>
      <c r="I47" s="9"/>
      <c r="J47" s="12"/>
    </row>
    <row r="50" spans="1:9">
      <c r="A50" s="1" t="s">
        <v>59</v>
      </c>
      <c r="E50" s="12"/>
    </row>
    <row r="51" spans="1:9">
      <c r="A51" s="1" t="s">
        <v>53</v>
      </c>
      <c r="E51" s="14"/>
    </row>
    <row r="52" spans="1:9">
      <c r="A52" s="1" t="s">
        <v>54</v>
      </c>
      <c r="I52" s="12"/>
    </row>
    <row r="53" spans="1:9">
      <c r="A53" s="1" t="s">
        <v>52</v>
      </c>
    </row>
    <row r="55" spans="1:9">
      <c r="A55" s="2"/>
      <c r="B55" s="2"/>
      <c r="C55" s="2"/>
      <c r="D55" s="2"/>
      <c r="E55" s="27"/>
      <c r="F55" s="23" t="s">
        <v>71</v>
      </c>
      <c r="G55" s="14"/>
    </row>
    <row r="56" spans="1:9">
      <c r="A56" s="2" t="s">
        <v>30</v>
      </c>
      <c r="B56" s="2"/>
      <c r="C56" s="2"/>
      <c r="D56" s="10"/>
      <c r="E56" s="22">
        <v>1446162285</v>
      </c>
      <c r="F56" s="10"/>
      <c r="G56" s="14"/>
    </row>
    <row r="57" spans="1:9">
      <c r="A57" s="3" t="s">
        <v>31</v>
      </c>
      <c r="B57" s="2"/>
      <c r="C57" s="2"/>
      <c r="D57" s="10"/>
      <c r="E57" s="10"/>
      <c r="F57" s="2"/>
      <c r="G57" s="14"/>
    </row>
    <row r="58" spans="1:9">
      <c r="A58" s="2" t="s">
        <v>33</v>
      </c>
      <c r="B58" s="2"/>
      <c r="C58" s="2"/>
      <c r="D58" s="10">
        <v>26645970</v>
      </c>
      <c r="E58" s="10"/>
      <c r="F58" s="18" t="s">
        <v>74</v>
      </c>
      <c r="G58" s="14"/>
    </row>
    <row r="59" spans="1:9">
      <c r="A59" s="2" t="s">
        <v>34</v>
      </c>
      <c r="B59" s="2"/>
      <c r="C59" s="2"/>
      <c r="D59" s="10">
        <v>620</v>
      </c>
      <c r="E59" s="10"/>
      <c r="F59" s="18" t="s">
        <v>75</v>
      </c>
      <c r="G59" s="14"/>
    </row>
    <row r="60" spans="1:9">
      <c r="A60" s="2" t="s">
        <v>40</v>
      </c>
      <c r="B60" s="2"/>
      <c r="C60" s="2"/>
      <c r="D60" s="10">
        <f>141485398-141018000</f>
        <v>467398</v>
      </c>
      <c r="E60" s="10"/>
      <c r="F60" s="18" t="s">
        <v>76</v>
      </c>
      <c r="G60" s="14"/>
    </row>
    <row r="61" spans="1:9">
      <c r="A61" s="2" t="s">
        <v>41</v>
      </c>
      <c r="B61" s="2"/>
      <c r="C61" s="2"/>
      <c r="D61" s="10">
        <f>155875624-155870500</f>
        <v>5124</v>
      </c>
      <c r="E61" s="10"/>
      <c r="F61" s="18" t="s">
        <v>77</v>
      </c>
      <c r="G61" s="14"/>
    </row>
    <row r="62" spans="1:9">
      <c r="A62" s="2" t="s">
        <v>42</v>
      </c>
      <c r="B62" s="2"/>
      <c r="C62" s="2"/>
      <c r="D62" s="10">
        <f>144792000-144782500</f>
        <v>9500</v>
      </c>
      <c r="E62" s="10"/>
      <c r="F62" s="18" t="s">
        <v>78</v>
      </c>
      <c r="G62" s="14"/>
    </row>
    <row r="63" spans="1:9">
      <c r="A63" s="2" t="s">
        <v>43</v>
      </c>
      <c r="B63" s="2"/>
      <c r="C63" s="2"/>
      <c r="D63" s="10">
        <v>33569</v>
      </c>
      <c r="E63" s="10"/>
      <c r="F63" s="18" t="s">
        <v>79</v>
      </c>
      <c r="G63" s="14"/>
    </row>
    <row r="64" spans="1:9">
      <c r="A64" s="2" t="s">
        <v>45</v>
      </c>
      <c r="B64" s="2"/>
      <c r="C64" s="2"/>
      <c r="D64" s="10">
        <v>17</v>
      </c>
      <c r="E64" s="10"/>
      <c r="F64" s="18" t="s">
        <v>80</v>
      </c>
      <c r="G64" s="14"/>
    </row>
    <row r="65" spans="1:15">
      <c r="A65" s="2" t="s">
        <v>47</v>
      </c>
      <c r="B65" s="2"/>
      <c r="C65" s="2"/>
      <c r="D65" s="10">
        <v>9</v>
      </c>
      <c r="E65" s="10"/>
      <c r="F65" s="18" t="s">
        <v>81</v>
      </c>
      <c r="G65" s="14"/>
    </row>
    <row r="66" spans="1:15">
      <c r="A66" s="2" t="s">
        <v>50</v>
      </c>
      <c r="B66" s="2"/>
      <c r="C66" s="2"/>
      <c r="D66" s="10">
        <v>718731</v>
      </c>
      <c r="E66" s="2"/>
      <c r="F66" s="18" t="s">
        <v>72</v>
      </c>
      <c r="G66" s="14"/>
    </row>
    <row r="67" spans="1:15">
      <c r="A67" s="2" t="s">
        <v>57</v>
      </c>
      <c r="B67" s="2"/>
      <c r="C67" s="2"/>
      <c r="D67" s="10">
        <v>1</v>
      </c>
      <c r="E67" s="22">
        <f>SUM(D58:D67)</f>
        <v>27880939</v>
      </c>
      <c r="F67" s="10" t="s">
        <v>73</v>
      </c>
      <c r="G67" s="14"/>
    </row>
    <row r="68" spans="1:15">
      <c r="A68" s="2"/>
      <c r="B68" s="2"/>
      <c r="C68" s="2"/>
      <c r="D68" s="10"/>
      <c r="E68" s="10"/>
      <c r="F68" s="10"/>
      <c r="G68" s="14"/>
    </row>
    <row r="69" spans="1:15">
      <c r="A69" s="3" t="s">
        <v>32</v>
      </c>
      <c r="B69" s="2"/>
      <c r="C69" s="2"/>
      <c r="D69" s="10"/>
      <c r="E69" s="10"/>
      <c r="F69" s="10"/>
      <c r="G69" s="14"/>
    </row>
    <row r="70" spans="1:15">
      <c r="A70" s="2" t="s">
        <v>35</v>
      </c>
      <c r="B70" s="2"/>
      <c r="C70" s="2"/>
      <c r="D70" s="10">
        <v>320</v>
      </c>
      <c r="E70" s="10"/>
      <c r="F70" s="18" t="s">
        <v>82</v>
      </c>
      <c r="G70" s="14"/>
    </row>
    <row r="71" spans="1:15">
      <c r="A71" s="2" t="s">
        <v>36</v>
      </c>
      <c r="B71" s="2"/>
      <c r="C71" s="2"/>
      <c r="D71" s="10">
        <f>118387100-118385990</f>
        <v>1110</v>
      </c>
      <c r="E71" s="10"/>
      <c r="F71" s="18" t="s">
        <v>83</v>
      </c>
      <c r="G71" s="14"/>
      <c r="O71" s="14"/>
    </row>
    <row r="72" spans="1:15">
      <c r="A72" s="2" t="s">
        <v>37</v>
      </c>
      <c r="B72" s="2"/>
      <c r="C72" s="2"/>
      <c r="D72" s="10">
        <f>135471075-135470660</f>
        <v>415</v>
      </c>
      <c r="E72" s="10"/>
      <c r="F72" s="18" t="s">
        <v>84</v>
      </c>
      <c r="G72" s="14"/>
    </row>
    <row r="73" spans="1:15">
      <c r="A73" s="2" t="s">
        <v>38</v>
      </c>
      <c r="B73" s="2"/>
      <c r="C73" s="2"/>
      <c r="D73" s="10">
        <f>138725000-138633435</f>
        <v>91565</v>
      </c>
      <c r="E73" s="10"/>
      <c r="F73" s="18" t="s">
        <v>85</v>
      </c>
      <c r="G73" s="14"/>
    </row>
    <row r="74" spans="1:15">
      <c r="A74" s="2" t="s">
        <v>39</v>
      </c>
      <c r="B74" s="2"/>
      <c r="C74" s="2"/>
      <c r="D74" s="10">
        <f>127233000-126220900</f>
        <v>1012100</v>
      </c>
      <c r="E74" s="10"/>
      <c r="F74" s="18" t="s">
        <v>86</v>
      </c>
      <c r="G74" s="14"/>
    </row>
    <row r="75" spans="1:15">
      <c r="A75" s="2" t="s">
        <v>44</v>
      </c>
      <c r="B75" s="2"/>
      <c r="C75" s="2"/>
      <c r="D75" s="10">
        <f>119295195-119295173</f>
        <v>22</v>
      </c>
      <c r="E75" s="10"/>
      <c r="F75" s="18" t="s">
        <v>87</v>
      </c>
      <c r="G75" s="14"/>
    </row>
    <row r="76" spans="1:15">
      <c r="A76" s="2" t="s">
        <v>46</v>
      </c>
      <c r="B76" s="2"/>
      <c r="C76" s="2"/>
      <c r="D76" s="10">
        <v>2</v>
      </c>
      <c r="E76" s="10"/>
      <c r="F76" s="18" t="s">
        <v>88</v>
      </c>
      <c r="G76" s="14"/>
    </row>
    <row r="77" spans="1:15">
      <c r="A77" s="2" t="s">
        <v>48</v>
      </c>
      <c r="B77" s="2"/>
      <c r="C77" s="2"/>
      <c r="D77" s="10">
        <v>27280620</v>
      </c>
      <c r="E77" s="10"/>
      <c r="F77" s="18" t="s">
        <v>98</v>
      </c>
      <c r="G77" s="14"/>
    </row>
    <row r="78" spans="1:15">
      <c r="A78" s="2" t="s">
        <v>49</v>
      </c>
      <c r="B78" s="2"/>
      <c r="C78" s="2"/>
      <c r="D78" s="10">
        <f>89217186-86230947</f>
        <v>2986239</v>
      </c>
      <c r="E78" s="10"/>
      <c r="F78" s="18" t="s">
        <v>98</v>
      </c>
      <c r="G78" s="14"/>
    </row>
    <row r="79" spans="1:15">
      <c r="A79" s="2" t="s">
        <v>91</v>
      </c>
      <c r="B79" s="2"/>
      <c r="C79" s="2"/>
      <c r="D79" s="24"/>
      <c r="E79" s="2"/>
      <c r="F79" s="10"/>
      <c r="G79" s="14"/>
    </row>
    <row r="80" spans="1:15" ht="15">
      <c r="A80" s="25" t="s">
        <v>55</v>
      </c>
      <c r="B80" s="2"/>
      <c r="C80" s="2"/>
      <c r="D80" s="24">
        <v>16200920</v>
      </c>
      <c r="E80" s="10"/>
      <c r="F80" s="10"/>
      <c r="G80" s="14"/>
    </row>
    <row r="81" spans="1:7" ht="17.25">
      <c r="A81" s="25" t="s">
        <v>56</v>
      </c>
      <c r="B81" s="2"/>
      <c r="C81" s="2"/>
      <c r="D81" s="24">
        <f>43606705+30136215</f>
        <v>73742920</v>
      </c>
      <c r="E81" s="22">
        <f>SUM(D70:D81)</f>
        <v>121316233</v>
      </c>
      <c r="F81" s="10"/>
      <c r="G81" s="14"/>
    </row>
    <row r="82" spans="1:7" ht="15">
      <c r="A82" s="26"/>
      <c r="B82" s="2"/>
      <c r="C82" s="2"/>
      <c r="D82" s="24"/>
      <c r="E82" s="10"/>
      <c r="F82" s="10"/>
      <c r="G82" s="14"/>
    </row>
    <row r="83" spans="1:7" ht="13.5" thickBot="1">
      <c r="A83" s="2"/>
      <c r="B83" s="2"/>
      <c r="C83" s="2"/>
      <c r="D83" s="41"/>
      <c r="E83" s="39"/>
      <c r="F83" s="10"/>
      <c r="G83" s="14"/>
    </row>
    <row r="84" spans="1:7">
      <c r="A84" s="3" t="s">
        <v>102</v>
      </c>
      <c r="B84" s="2"/>
      <c r="C84" s="2"/>
      <c r="D84" s="10"/>
      <c r="E84" s="42">
        <f>+E56+E67-E81</f>
        <v>1352726991</v>
      </c>
      <c r="F84" s="40"/>
      <c r="G84" s="14"/>
    </row>
    <row r="85" spans="1:7">
      <c r="A85" s="2"/>
      <c r="B85" s="2"/>
      <c r="C85" s="2"/>
      <c r="D85" s="10"/>
      <c r="E85" s="10"/>
      <c r="F85" s="40"/>
      <c r="G85" s="14"/>
    </row>
    <row r="86" spans="1:7">
      <c r="A86" s="43" t="s">
        <v>105</v>
      </c>
      <c r="B86" s="2"/>
      <c r="C86" s="2"/>
      <c r="D86" s="10"/>
      <c r="E86" s="10">
        <v>81185529</v>
      </c>
      <c r="F86" s="10"/>
      <c r="G86" s="14"/>
    </row>
    <row r="87" spans="1:7">
      <c r="A87" s="43"/>
      <c r="B87" s="2"/>
      <c r="C87" s="2"/>
      <c r="D87" s="10"/>
      <c r="E87" s="10"/>
      <c r="F87" s="10"/>
      <c r="G87" s="14"/>
    </row>
    <row r="88" spans="1:7" ht="13.5" thickBot="1">
      <c r="A88" s="43" t="s">
        <v>106</v>
      </c>
      <c r="B88" s="2"/>
      <c r="C88" s="2"/>
      <c r="D88" s="10"/>
      <c r="E88" s="39">
        <v>93067988</v>
      </c>
      <c r="F88" s="10"/>
      <c r="G88" s="14"/>
    </row>
    <row r="89" spans="1:7">
      <c r="A89" s="3" t="s">
        <v>103</v>
      </c>
      <c r="B89" s="2"/>
      <c r="C89" s="2"/>
      <c r="D89" s="10"/>
      <c r="E89" s="42">
        <f>SUM(E84:E88)</f>
        <v>1526980508</v>
      </c>
      <c r="F89" s="10"/>
      <c r="G89" s="14"/>
    </row>
    <row r="90" spans="1:7">
      <c r="D90" s="14"/>
      <c r="E90" s="14"/>
      <c r="F90" s="14"/>
      <c r="G90" s="14"/>
    </row>
    <row r="91" spans="1:7">
      <c r="D91" s="14"/>
      <c r="E91" s="14"/>
      <c r="F91" s="14"/>
      <c r="G91" s="14"/>
    </row>
    <row r="92" spans="1:7">
      <c r="A92" s="7" t="s">
        <v>104</v>
      </c>
      <c r="D92" s="14"/>
      <c r="E92" s="14"/>
      <c r="F92" s="14"/>
      <c r="G92" s="14"/>
    </row>
    <row r="93" spans="1:7">
      <c r="A93" s="44" t="s">
        <v>107</v>
      </c>
      <c r="D93" s="14"/>
      <c r="E93" s="14"/>
      <c r="F93" s="14"/>
      <c r="G93" s="14"/>
    </row>
    <row r="94" spans="1:7">
      <c r="D94" s="14"/>
      <c r="E94" s="14"/>
      <c r="F94" s="14"/>
      <c r="G94" s="14"/>
    </row>
    <row r="95" spans="1:7">
      <c r="D95" s="14"/>
      <c r="E95" s="14"/>
      <c r="F95" s="14"/>
      <c r="G95" s="14"/>
    </row>
    <row r="96" spans="1:7">
      <c r="D96" s="14"/>
      <c r="E96" s="14"/>
      <c r="F96" s="14"/>
      <c r="G96" s="14"/>
    </row>
    <row r="97" spans="4:7">
      <c r="D97" s="14"/>
      <c r="E97" s="14"/>
      <c r="F97" s="14"/>
      <c r="G97" s="14"/>
    </row>
    <row r="98" spans="4:7">
      <c r="D98" s="14"/>
      <c r="E98" s="14"/>
      <c r="F98" s="14"/>
      <c r="G98" s="14"/>
    </row>
    <row r="99" spans="4:7">
      <c r="D99" s="14"/>
      <c r="E99" s="14"/>
      <c r="F99" s="14"/>
      <c r="G99" s="14"/>
    </row>
    <row r="100" spans="4:7">
      <c r="D100" s="14"/>
      <c r="E100" s="14"/>
      <c r="F100" s="14"/>
      <c r="G100" s="14"/>
    </row>
    <row r="101" spans="4:7">
      <c r="D101" s="14"/>
      <c r="E101" s="14"/>
      <c r="F101" s="14"/>
      <c r="G101" s="14"/>
    </row>
    <row r="102" spans="4:7">
      <c r="D102" s="14"/>
      <c r="E102" s="14"/>
      <c r="F102" s="14"/>
      <c r="G102" s="14"/>
    </row>
    <row r="103" spans="4:7">
      <c r="D103" s="14"/>
      <c r="E103" s="14"/>
      <c r="F103" s="14"/>
      <c r="G103" s="14"/>
    </row>
    <row r="104" spans="4:7">
      <c r="D104" s="14"/>
      <c r="E104" s="14"/>
      <c r="F104" s="14"/>
      <c r="G104" s="14"/>
    </row>
    <row r="105" spans="4:7">
      <c r="D105" s="14"/>
      <c r="E105" s="14"/>
      <c r="F105" s="14"/>
      <c r="G105" s="14"/>
    </row>
    <row r="106" spans="4:7">
      <c r="D106" s="14"/>
      <c r="E106" s="14"/>
      <c r="F106" s="14"/>
      <c r="G106" s="14"/>
    </row>
    <row r="107" spans="4:7">
      <c r="D107" s="14"/>
      <c r="E107" s="14"/>
      <c r="F107" s="14"/>
      <c r="G107" s="14"/>
    </row>
    <row r="108" spans="4:7">
      <c r="D108" s="14"/>
      <c r="E108" s="14"/>
      <c r="F108" s="14"/>
      <c r="G108" s="14"/>
    </row>
    <row r="109" spans="4:7">
      <c r="D109" s="14"/>
      <c r="E109" s="14"/>
      <c r="F109" s="14"/>
      <c r="G109" s="14"/>
    </row>
    <row r="110" spans="4:7">
      <c r="D110" s="14"/>
      <c r="E110" s="14"/>
      <c r="F110" s="14"/>
      <c r="G110" s="14"/>
    </row>
    <row r="111" spans="4:7">
      <c r="D111" s="14"/>
      <c r="E111" s="14"/>
      <c r="F111" s="14"/>
      <c r="G111" s="14"/>
    </row>
    <row r="112" spans="4:7">
      <c r="D112" s="14"/>
      <c r="E112" s="14"/>
      <c r="F112" s="14"/>
      <c r="G112" s="14"/>
    </row>
    <row r="113" spans="4:7">
      <c r="D113" s="14"/>
      <c r="E113" s="14"/>
      <c r="F113" s="14"/>
      <c r="G113" s="14"/>
    </row>
    <row r="114" spans="4:7">
      <c r="D114" s="14"/>
      <c r="E114" s="14"/>
      <c r="F114" s="14"/>
      <c r="G114" s="14"/>
    </row>
    <row r="115" spans="4:7">
      <c r="D115" s="14"/>
      <c r="E115" s="14"/>
      <c r="F115" s="14"/>
      <c r="G115" s="14"/>
    </row>
    <row r="116" spans="4:7">
      <c r="D116" s="14"/>
      <c r="E116" s="14"/>
      <c r="F116" s="14"/>
      <c r="G116" s="14"/>
    </row>
    <row r="117" spans="4:7">
      <c r="D117" s="14"/>
      <c r="E117" s="14"/>
      <c r="F117" s="14"/>
      <c r="G117" s="14"/>
    </row>
    <row r="118" spans="4:7">
      <c r="D118" s="14"/>
      <c r="E118" s="14"/>
      <c r="F118" s="14"/>
      <c r="G118" s="14"/>
    </row>
    <row r="119" spans="4:7">
      <c r="D119" s="14"/>
      <c r="E119" s="14"/>
      <c r="F119" s="14"/>
      <c r="G119" s="14"/>
    </row>
    <row r="120" spans="4:7">
      <c r="D120" s="14"/>
      <c r="E120" s="14"/>
      <c r="F120" s="14"/>
      <c r="G120" s="14"/>
    </row>
    <row r="121" spans="4:7">
      <c r="D121" s="14"/>
      <c r="E121" s="14"/>
      <c r="F121" s="14"/>
      <c r="G121" s="14"/>
    </row>
    <row r="122" spans="4:7">
      <c r="D122" s="14"/>
      <c r="E122" s="14"/>
      <c r="F122" s="14"/>
      <c r="G122" s="14"/>
    </row>
    <row r="123" spans="4:7">
      <c r="D123" s="14"/>
      <c r="E123" s="14"/>
      <c r="F123" s="14"/>
      <c r="G123" s="14"/>
    </row>
    <row r="124" spans="4:7">
      <c r="D124" s="14"/>
      <c r="E124" s="14"/>
      <c r="F124" s="14"/>
      <c r="G124" s="14"/>
    </row>
    <row r="125" spans="4:7">
      <c r="D125" s="14"/>
      <c r="E125" s="14"/>
      <c r="F125" s="14"/>
      <c r="G125" s="14"/>
    </row>
    <row r="126" spans="4:7">
      <c r="D126" s="14"/>
      <c r="E126" s="14"/>
      <c r="F126" s="14"/>
      <c r="G126" s="14"/>
    </row>
    <row r="127" spans="4:7">
      <c r="D127" s="14"/>
      <c r="E127" s="14"/>
      <c r="F127" s="14"/>
      <c r="G127" s="14"/>
    </row>
    <row r="128" spans="4:7">
      <c r="D128" s="14"/>
      <c r="E128" s="14"/>
      <c r="F128" s="14"/>
      <c r="G128" s="14"/>
    </row>
    <row r="129" spans="4:7">
      <c r="D129" s="14"/>
      <c r="E129" s="14"/>
      <c r="F129" s="14"/>
      <c r="G129" s="14"/>
    </row>
    <row r="130" spans="4:7">
      <c r="D130" s="14"/>
      <c r="E130" s="14"/>
      <c r="F130" s="14"/>
      <c r="G130" s="14"/>
    </row>
    <row r="131" spans="4:7">
      <c r="D131" s="14"/>
      <c r="E131" s="14"/>
      <c r="F131" s="14"/>
      <c r="G131" s="14"/>
    </row>
    <row r="132" spans="4:7">
      <c r="D132" s="14"/>
      <c r="E132" s="14"/>
      <c r="F132" s="14"/>
      <c r="G132" s="14"/>
    </row>
    <row r="133" spans="4:7">
      <c r="D133" s="14"/>
      <c r="E133" s="14"/>
      <c r="F133" s="14"/>
      <c r="G133" s="14"/>
    </row>
    <row r="134" spans="4:7">
      <c r="D134" s="14"/>
      <c r="E134" s="14"/>
      <c r="F134" s="14"/>
      <c r="G134" s="14"/>
    </row>
    <row r="135" spans="4:7">
      <c r="D135" s="14"/>
      <c r="E135" s="14"/>
      <c r="F135" s="14"/>
      <c r="G135" s="14"/>
    </row>
    <row r="136" spans="4:7">
      <c r="D136" s="14"/>
      <c r="E136" s="14"/>
      <c r="F136" s="14"/>
      <c r="G136" s="14"/>
    </row>
    <row r="137" spans="4:7">
      <c r="D137" s="14"/>
      <c r="E137" s="14"/>
      <c r="F137" s="14"/>
      <c r="G137" s="14"/>
    </row>
    <row r="138" spans="4:7">
      <c r="D138" s="14"/>
      <c r="E138" s="14"/>
      <c r="F138" s="14"/>
      <c r="G138" s="14"/>
    </row>
    <row r="139" spans="4:7">
      <c r="D139" s="14"/>
      <c r="E139" s="14"/>
      <c r="F139" s="14"/>
      <c r="G139" s="14"/>
    </row>
    <row r="140" spans="4:7">
      <c r="D140" s="14"/>
      <c r="E140" s="14"/>
      <c r="F140" s="14"/>
      <c r="G140" s="14"/>
    </row>
    <row r="141" spans="4:7">
      <c r="D141" s="14"/>
      <c r="E141" s="14"/>
      <c r="F141" s="14"/>
      <c r="G141" s="14"/>
    </row>
    <row r="142" spans="4:7">
      <c r="D142" s="14"/>
      <c r="E142" s="14"/>
      <c r="F142" s="14"/>
      <c r="G142" s="14"/>
    </row>
    <row r="143" spans="4:7">
      <c r="D143" s="14"/>
      <c r="E143" s="14"/>
      <c r="F143" s="14"/>
      <c r="G143" s="14"/>
    </row>
    <row r="144" spans="4:7">
      <c r="D144" s="14"/>
      <c r="E144" s="14"/>
      <c r="F144" s="14"/>
      <c r="G144" s="14"/>
    </row>
    <row r="145" spans="4:7">
      <c r="D145" s="14"/>
      <c r="E145" s="14"/>
      <c r="F145" s="14"/>
      <c r="G145" s="14"/>
    </row>
    <row r="146" spans="4:7">
      <c r="D146" s="14"/>
      <c r="E146" s="14"/>
      <c r="F146" s="14"/>
      <c r="G146" s="14"/>
    </row>
    <row r="147" spans="4:7">
      <c r="D147" s="14"/>
      <c r="E147" s="14"/>
      <c r="F147" s="14"/>
      <c r="G147" s="14"/>
    </row>
    <row r="148" spans="4:7">
      <c r="D148" s="14"/>
      <c r="E148" s="14"/>
      <c r="F148" s="14"/>
      <c r="G148" s="14"/>
    </row>
    <row r="149" spans="4:7">
      <c r="D149" s="14"/>
      <c r="E149" s="14"/>
      <c r="F149" s="14"/>
      <c r="G149" s="14"/>
    </row>
    <row r="150" spans="4:7">
      <c r="D150" s="14"/>
      <c r="E150" s="14"/>
      <c r="F150" s="14"/>
      <c r="G150" s="14"/>
    </row>
    <row r="151" spans="4:7">
      <c r="D151" s="14"/>
      <c r="E151" s="14"/>
      <c r="F151" s="14"/>
      <c r="G151" s="14"/>
    </row>
    <row r="152" spans="4:7">
      <c r="D152" s="14"/>
      <c r="E152" s="14"/>
      <c r="F152" s="14"/>
      <c r="G152" s="14"/>
    </row>
    <row r="153" spans="4:7">
      <c r="D153" s="14"/>
      <c r="E153" s="14"/>
      <c r="F153" s="14"/>
      <c r="G153" s="14"/>
    </row>
    <row r="154" spans="4:7">
      <c r="D154" s="14"/>
      <c r="E154" s="14"/>
      <c r="F154" s="14"/>
      <c r="G154" s="14"/>
    </row>
    <row r="155" spans="4:7">
      <c r="D155" s="14"/>
      <c r="E155" s="14"/>
      <c r="F155" s="14"/>
      <c r="G155" s="14"/>
    </row>
    <row r="156" spans="4:7">
      <c r="D156" s="14"/>
      <c r="E156" s="14"/>
      <c r="F156" s="14"/>
      <c r="G156" s="14"/>
    </row>
  </sheetData>
  <phoneticPr fontId="4" type="noConversion"/>
  <pageMargins left="0.14000000000000001" right="0.28000000000000003" top="0.18" bottom="0.4" header="0.5" footer="0.5"/>
  <pageSetup paperSize="5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24" sqref="C24"/>
    </sheetView>
  </sheetViews>
  <sheetFormatPr defaultRowHeight="12.75"/>
  <cols>
    <col min="1" max="1" width="11.42578125" customWidth="1"/>
    <col min="2" max="2" width="21.5703125" customWidth="1"/>
    <col min="3" max="3" width="19.42578125" customWidth="1"/>
    <col min="4" max="4" width="14.7109375" style="17" customWidth="1"/>
    <col min="5" max="5" width="14.28515625" style="17" customWidth="1"/>
    <col min="6" max="6" width="14.5703125" bestFit="1" customWidth="1"/>
    <col min="8" max="8" width="9.28515625" bestFit="1" customWidth="1"/>
  </cols>
  <sheetData>
    <row r="1" spans="1:8">
      <c r="B1" s="21" t="s">
        <v>53</v>
      </c>
    </row>
    <row r="2" spans="1:8">
      <c r="B2" s="21" t="s">
        <v>65</v>
      </c>
    </row>
    <row r="3" spans="1:8">
      <c r="B3" s="21" t="s">
        <v>66</v>
      </c>
      <c r="C3" s="7"/>
    </row>
    <row r="4" spans="1:8">
      <c r="A4" s="7"/>
      <c r="B4" s="7"/>
      <c r="C4" s="7"/>
    </row>
    <row r="5" spans="1:8">
      <c r="A5" s="16" t="s">
        <v>63</v>
      </c>
      <c r="B5" s="3" t="s">
        <v>67</v>
      </c>
      <c r="C5" s="3" t="s">
        <v>67</v>
      </c>
      <c r="D5" s="19" t="s">
        <v>64</v>
      </c>
      <c r="E5" s="19" t="s">
        <v>89</v>
      </c>
      <c r="F5" s="19" t="s">
        <v>70</v>
      </c>
    </row>
    <row r="6" spans="1:8">
      <c r="A6" s="3"/>
      <c r="B6" s="3" t="s">
        <v>68</v>
      </c>
      <c r="C6" s="3" t="s">
        <v>69</v>
      </c>
      <c r="D6" s="18"/>
      <c r="E6" s="30" t="s">
        <v>90</v>
      </c>
      <c r="F6" s="2"/>
    </row>
    <row r="7" spans="1:8">
      <c r="A7" s="2">
        <v>1995</v>
      </c>
      <c r="B7" s="18">
        <v>53291.94</v>
      </c>
      <c r="C7" s="18">
        <v>0</v>
      </c>
      <c r="D7" s="18">
        <f>+B7-C7</f>
        <v>53291.94</v>
      </c>
      <c r="E7" s="18">
        <v>500</v>
      </c>
      <c r="F7" s="18">
        <f>+D7*500</f>
        <v>26645970</v>
      </c>
    </row>
    <row r="8" spans="1:8">
      <c r="A8" s="2">
        <v>1996</v>
      </c>
      <c r="B8" s="18">
        <v>251503.24</v>
      </c>
      <c r="C8" s="18">
        <v>251502</v>
      </c>
      <c r="D8" s="18">
        <f t="shared" ref="D8:D24" si="0">+B8-C8</f>
        <v>1.2399999999906868</v>
      </c>
      <c r="E8" s="18">
        <v>500</v>
      </c>
      <c r="F8" s="18">
        <f>+D8*500</f>
        <v>619.99999999534339</v>
      </c>
    </row>
    <row r="9" spans="1:8">
      <c r="A9" s="2">
        <v>1997</v>
      </c>
      <c r="B9" s="18">
        <v>243167.35999999999</v>
      </c>
      <c r="C9" s="18">
        <v>243168</v>
      </c>
      <c r="D9" s="18">
        <f t="shared" si="0"/>
        <v>-0.64000000001396984</v>
      </c>
      <c r="E9" s="18">
        <v>500</v>
      </c>
      <c r="F9" s="18">
        <f t="shared" ref="F9:F24" si="1">+D9*500</f>
        <v>-320.00000000698492</v>
      </c>
    </row>
    <row r="10" spans="1:8">
      <c r="A10" s="2">
        <v>1998</v>
      </c>
      <c r="B10" s="18">
        <v>236771.98</v>
      </c>
      <c r="C10" s="18">
        <v>236774.2</v>
      </c>
      <c r="D10" s="18">
        <f t="shared" si="0"/>
        <v>-2.2200000000011642</v>
      </c>
      <c r="E10" s="18">
        <v>500</v>
      </c>
      <c r="F10" s="18">
        <f t="shared" si="1"/>
        <v>-1110.0000000005821</v>
      </c>
    </row>
    <row r="11" spans="1:8">
      <c r="A11" s="2">
        <v>1999</v>
      </c>
      <c r="B11" s="18">
        <v>270941.32</v>
      </c>
      <c r="C11" s="18">
        <v>270942.15000000002</v>
      </c>
      <c r="D11" s="18">
        <f t="shared" si="0"/>
        <v>-0.83000000001629815</v>
      </c>
      <c r="E11" s="18">
        <v>500</v>
      </c>
      <c r="F11" s="18">
        <f t="shared" si="1"/>
        <v>-415.00000000814907</v>
      </c>
    </row>
    <row r="12" spans="1:8">
      <c r="A12" s="2">
        <v>2000</v>
      </c>
      <c r="B12" s="18">
        <v>277266.87</v>
      </c>
      <c r="C12" s="18">
        <v>277450</v>
      </c>
      <c r="D12" s="18">
        <f t="shared" si="0"/>
        <v>-183.13000000000466</v>
      </c>
      <c r="E12" s="18">
        <v>500</v>
      </c>
      <c r="F12" s="18">
        <f t="shared" si="1"/>
        <v>-91565.000000002328</v>
      </c>
    </row>
    <row r="13" spans="1:8">
      <c r="A13" s="2">
        <v>2001</v>
      </c>
      <c r="B13" s="18">
        <v>252441.8</v>
      </c>
      <c r="C13" s="18">
        <f>254460+6</f>
        <v>254466</v>
      </c>
      <c r="D13" s="18">
        <f>+B13-C13</f>
        <v>-2024.2000000000116</v>
      </c>
      <c r="E13" s="18">
        <v>500</v>
      </c>
      <c r="F13" s="18">
        <f t="shared" si="1"/>
        <v>-1012100.0000000058</v>
      </c>
      <c r="H13" s="29"/>
    </row>
    <row r="14" spans="1:8">
      <c r="A14" s="2">
        <v>2002</v>
      </c>
      <c r="B14" s="18">
        <v>282970.79599999997</v>
      </c>
      <c r="C14" s="18">
        <v>282036</v>
      </c>
      <c r="D14" s="18">
        <f t="shared" si="0"/>
        <v>934.79599999997299</v>
      </c>
      <c r="E14" s="18">
        <v>500</v>
      </c>
      <c r="F14" s="18">
        <f t="shared" si="1"/>
        <v>467397.9999999865</v>
      </c>
    </row>
    <row r="15" spans="1:8">
      <c r="A15" s="2">
        <v>2003</v>
      </c>
      <c r="B15" s="18">
        <v>311751.24900000001</v>
      </c>
      <c r="C15" s="18">
        <v>311741</v>
      </c>
      <c r="D15" s="18">
        <f t="shared" si="0"/>
        <v>10.24900000001071</v>
      </c>
      <c r="E15" s="18">
        <v>500</v>
      </c>
      <c r="F15" s="18">
        <f t="shared" si="1"/>
        <v>5124.5000000053551</v>
      </c>
    </row>
    <row r="16" spans="1:8">
      <c r="A16" s="2">
        <v>2004</v>
      </c>
      <c r="B16" s="18">
        <v>289584</v>
      </c>
      <c r="C16" s="18">
        <v>289565</v>
      </c>
      <c r="D16" s="18">
        <f t="shared" si="0"/>
        <v>19</v>
      </c>
      <c r="E16" s="18">
        <v>500</v>
      </c>
      <c r="F16" s="18">
        <f t="shared" si="1"/>
        <v>9500</v>
      </c>
    </row>
    <row r="17" spans="1:8">
      <c r="A17" s="2">
        <v>2005</v>
      </c>
      <c r="B17" s="18">
        <f>45261.84+119630+65524</f>
        <v>230415.84</v>
      </c>
      <c r="C17" s="18">
        <v>230348.83</v>
      </c>
      <c r="D17" s="18">
        <f t="shared" si="0"/>
        <v>67.010000000009313</v>
      </c>
      <c r="E17" s="18">
        <v>500</v>
      </c>
      <c r="F17" s="18">
        <f t="shared" si="1"/>
        <v>33505.000000004657</v>
      </c>
    </row>
    <row r="18" spans="1:8">
      <c r="A18" s="15">
        <v>2006</v>
      </c>
      <c r="B18" s="18">
        <v>238590.35</v>
      </c>
      <c r="C18" s="18">
        <v>238590.39</v>
      </c>
      <c r="D18" s="18">
        <f t="shared" si="0"/>
        <v>-4.0000000008149073E-2</v>
      </c>
      <c r="E18" s="18">
        <v>500</v>
      </c>
      <c r="F18" s="18">
        <f t="shared" si="1"/>
        <v>-20.000000004074536</v>
      </c>
    </row>
    <row r="19" spans="1:8">
      <c r="A19" s="15">
        <v>2007</v>
      </c>
      <c r="B19" s="18">
        <f>158444.73+87572</f>
        <v>246016.73</v>
      </c>
      <c r="C19" s="18">
        <f>93243.3+152773.01</f>
        <v>246016.31</v>
      </c>
      <c r="D19" s="18">
        <f t="shared" si="0"/>
        <v>0.42000000001280569</v>
      </c>
      <c r="E19" s="18">
        <v>500</v>
      </c>
      <c r="F19" s="18">
        <f t="shared" si="1"/>
        <v>210.00000000640284</v>
      </c>
    </row>
    <row r="20" spans="1:8">
      <c r="A20" s="15">
        <v>2008</v>
      </c>
      <c r="B20" s="18">
        <f>118991.73+86369</f>
        <v>205360.72999999998</v>
      </c>
      <c r="C20" s="18">
        <v>205360.91</v>
      </c>
      <c r="D20" s="18">
        <f t="shared" si="0"/>
        <v>-0.18000000002211891</v>
      </c>
      <c r="E20" s="18">
        <v>500</v>
      </c>
      <c r="F20" s="18">
        <f t="shared" si="1"/>
        <v>-90.000000011059456</v>
      </c>
    </row>
    <row r="21" spans="1:8">
      <c r="A21" s="15">
        <v>2009</v>
      </c>
      <c r="B21" s="18">
        <f>70813.49+148515</f>
        <v>219328.49</v>
      </c>
      <c r="C21" s="18">
        <f>219328.78-0.31</f>
        <v>219328.47</v>
      </c>
      <c r="D21" s="18">
        <f t="shared" si="0"/>
        <v>1.9999999989522621E-2</v>
      </c>
      <c r="E21" s="18">
        <v>500</v>
      </c>
      <c r="F21" s="18">
        <f t="shared" si="1"/>
        <v>9.9999999947613105</v>
      </c>
      <c r="H21" s="29"/>
    </row>
    <row r="22" spans="1:8">
      <c r="A22" s="15">
        <v>2010</v>
      </c>
      <c r="B22" s="18">
        <v>196160.76</v>
      </c>
      <c r="C22" s="18">
        <v>250722.1</v>
      </c>
      <c r="D22" s="18">
        <f t="shared" si="0"/>
        <v>-54561.34</v>
      </c>
      <c r="E22" s="18">
        <v>500</v>
      </c>
      <c r="F22" s="18">
        <f t="shared" si="1"/>
        <v>-27280670</v>
      </c>
    </row>
    <row r="23" spans="1:8">
      <c r="A23" s="15">
        <v>2011</v>
      </c>
      <c r="B23" s="18">
        <v>211574.64</v>
      </c>
      <c r="C23" s="18">
        <v>211574.64</v>
      </c>
      <c r="D23" s="18">
        <f t="shared" si="0"/>
        <v>0</v>
      </c>
      <c r="E23" s="18">
        <v>500</v>
      </c>
      <c r="F23" s="18">
        <f t="shared" si="1"/>
        <v>0</v>
      </c>
    </row>
    <row r="24" spans="1:8">
      <c r="A24" s="15">
        <v>2012</v>
      </c>
      <c r="B24" s="18">
        <v>172461.89</v>
      </c>
      <c r="C24" s="18">
        <v>178434.37100000001</v>
      </c>
      <c r="D24" s="18">
        <f t="shared" si="0"/>
        <v>-5972.4809999999998</v>
      </c>
      <c r="E24" s="18">
        <v>500</v>
      </c>
      <c r="F24" s="18">
        <f t="shared" si="1"/>
        <v>-2986240.5</v>
      </c>
    </row>
    <row r="25" spans="1:8" ht="13.5" thickBot="1">
      <c r="A25" s="2"/>
      <c r="B25" s="20">
        <f>SUM(B7:B24)</f>
        <v>4189599.9849999994</v>
      </c>
      <c r="C25" s="20">
        <f>SUM(C7:C24)</f>
        <v>4198020.3710000012</v>
      </c>
      <c r="D25" s="20">
        <f>SUM(D7:D24)</f>
        <v>-8420.3860000000859</v>
      </c>
      <c r="E25" s="20"/>
      <c r="F25" s="20">
        <f>SUM(F7:F24)</f>
        <v>-4210193.0000000484</v>
      </c>
    </row>
    <row r="26" spans="1:8" ht="13.5" thickTop="1"/>
  </sheetData>
  <phoneticPr fontId="4" type="noConversion"/>
  <pageMargins left="0.75" right="0.75" top="1" bottom="1" header="0.5" footer="0.5"/>
  <pageSetup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100" sqref="A100"/>
    </sheetView>
  </sheetViews>
  <sheetFormatPr defaultRowHeight="12.75"/>
  <cols>
    <col min="1" max="1" width="58.140625" bestFit="1" customWidth="1"/>
    <col min="2" max="2" width="17.85546875" customWidth="1"/>
    <col min="3" max="3" width="14" bestFit="1" customWidth="1"/>
    <col min="4" max="4" width="12.28515625" bestFit="1" customWidth="1"/>
    <col min="5" max="5" width="14" bestFit="1" customWidth="1"/>
    <col min="6" max="6" width="78" bestFit="1" customWidth="1"/>
    <col min="7" max="7" width="11.28515625" bestFit="1" customWidth="1"/>
    <col min="8" max="8" width="15" bestFit="1" customWidth="1"/>
    <col min="9" max="9" width="14" bestFit="1" customWidth="1"/>
  </cols>
  <sheetData>
    <row r="1" spans="1:9">
      <c r="B1" s="1" t="s">
        <v>58</v>
      </c>
    </row>
    <row r="2" spans="1:9">
      <c r="B2" s="1" t="s">
        <v>0</v>
      </c>
    </row>
    <row r="3" spans="1:9">
      <c r="B3" s="1" t="s">
        <v>1</v>
      </c>
    </row>
    <row r="4" spans="1:9">
      <c r="C4" s="7" t="s">
        <v>9</v>
      </c>
      <c r="E4" s="31" t="s">
        <v>53</v>
      </c>
      <c r="F4" s="7" t="s">
        <v>93</v>
      </c>
    </row>
    <row r="5" spans="1:9">
      <c r="A5" s="3" t="s">
        <v>2</v>
      </c>
      <c r="B5" s="3" t="s">
        <v>3</v>
      </c>
      <c r="C5" s="3" t="s">
        <v>7</v>
      </c>
      <c r="D5" s="3" t="s">
        <v>5</v>
      </c>
      <c r="E5" s="3" t="s">
        <v>6</v>
      </c>
      <c r="F5" s="3" t="s">
        <v>7</v>
      </c>
      <c r="G5" s="3" t="s">
        <v>5</v>
      </c>
      <c r="H5" s="3" t="s">
        <v>6</v>
      </c>
      <c r="I5" s="3" t="s">
        <v>11</v>
      </c>
    </row>
    <row r="6" spans="1:9" ht="13.5" thickBot="1">
      <c r="A6" s="5"/>
      <c r="B6" s="5" t="s">
        <v>4</v>
      </c>
      <c r="C6" s="5" t="s">
        <v>8</v>
      </c>
      <c r="D6" s="5"/>
      <c r="E6" s="5"/>
      <c r="F6" s="5" t="s">
        <v>8</v>
      </c>
      <c r="G6" s="5"/>
      <c r="H6" s="5"/>
      <c r="I6" s="6"/>
    </row>
    <row r="7" spans="1:9">
      <c r="A7" s="4">
        <v>1995</v>
      </c>
      <c r="B7" s="8">
        <v>53291.94</v>
      </c>
      <c r="C7" s="8">
        <f>+B7*500</f>
        <v>26645970</v>
      </c>
      <c r="D7" s="8"/>
      <c r="E7" s="32">
        <f>+C7-D7</f>
        <v>26645970</v>
      </c>
      <c r="F7" s="8">
        <f>+B7*14.5</f>
        <v>772733.13</v>
      </c>
      <c r="G7" s="8"/>
      <c r="H7" s="8">
        <f>+F7-G7</f>
        <v>772733.13</v>
      </c>
      <c r="I7" s="9">
        <f>+H7+E7</f>
        <v>27418703.129999999</v>
      </c>
    </row>
    <row r="8" spans="1:9">
      <c r="A8" s="2">
        <v>1996</v>
      </c>
      <c r="B8" s="10">
        <v>251503.24</v>
      </c>
      <c r="C8" s="8">
        <f t="shared" ref="C8:C37" si="0">+B8*500</f>
        <v>125751620</v>
      </c>
      <c r="D8" s="10"/>
      <c r="E8" s="32">
        <f t="shared" ref="E8:E37" si="1">+C8-D8</f>
        <v>125751620</v>
      </c>
      <c r="F8" s="8">
        <f>3018039+754510</f>
        <v>3772549</v>
      </c>
      <c r="G8" s="10"/>
      <c r="H8" s="8">
        <f t="shared" ref="H8:H37" si="2">+F8-G8</f>
        <v>3772549</v>
      </c>
      <c r="I8" s="9">
        <f>+I7+E8+H8</f>
        <v>156942872.13</v>
      </c>
    </row>
    <row r="9" spans="1:9">
      <c r="A9" s="2">
        <v>1997</v>
      </c>
      <c r="B9" s="10">
        <v>243167.35999999999</v>
      </c>
      <c r="C9" s="8">
        <f t="shared" si="0"/>
        <v>121583680</v>
      </c>
      <c r="D9" s="10"/>
      <c r="E9" s="32">
        <f t="shared" si="1"/>
        <v>121583680</v>
      </c>
      <c r="F9" s="8">
        <f>729502+2918008</f>
        <v>3647510</v>
      </c>
      <c r="G9" s="10"/>
      <c r="H9" s="8">
        <f t="shared" si="2"/>
        <v>3647510</v>
      </c>
      <c r="I9" s="9">
        <f t="shared" ref="I9:I37" si="3">+I8+E9+H9</f>
        <v>282174062.13</v>
      </c>
    </row>
    <row r="10" spans="1:9">
      <c r="A10" s="2">
        <v>1998</v>
      </c>
      <c r="B10" s="10">
        <v>236771.98</v>
      </c>
      <c r="C10" s="8">
        <f t="shared" si="0"/>
        <v>118385990</v>
      </c>
      <c r="D10" s="10"/>
      <c r="E10" s="32">
        <f t="shared" si="1"/>
        <v>118385990</v>
      </c>
      <c r="F10" s="8">
        <f>+B10*14.5</f>
        <v>3433193.71</v>
      </c>
      <c r="G10" s="10"/>
      <c r="H10" s="8">
        <f t="shared" si="2"/>
        <v>3433193.71</v>
      </c>
      <c r="I10" s="9">
        <f t="shared" si="3"/>
        <v>403993245.83999997</v>
      </c>
    </row>
    <row r="11" spans="1:9">
      <c r="A11" s="2">
        <v>1999</v>
      </c>
      <c r="B11" s="10">
        <v>270941.32</v>
      </c>
      <c r="C11" s="8">
        <f t="shared" si="0"/>
        <v>135470660</v>
      </c>
      <c r="D11" s="10"/>
      <c r="E11" s="32">
        <f t="shared" si="1"/>
        <v>135470660</v>
      </c>
      <c r="F11" s="8">
        <f>+B11*14.5</f>
        <v>3928649.14</v>
      </c>
      <c r="G11" s="10"/>
      <c r="H11" s="8">
        <f t="shared" si="2"/>
        <v>3928649.14</v>
      </c>
      <c r="I11" s="9">
        <f t="shared" si="3"/>
        <v>543392554.9799999</v>
      </c>
    </row>
    <row r="12" spans="1:9">
      <c r="A12" s="2">
        <v>2000</v>
      </c>
      <c r="B12" s="10">
        <v>277266.87</v>
      </c>
      <c r="C12" s="8">
        <f t="shared" si="0"/>
        <v>138633435</v>
      </c>
      <c r="D12" s="10"/>
      <c r="E12" s="32">
        <f t="shared" si="1"/>
        <v>138633435</v>
      </c>
      <c r="F12" s="8">
        <f>782897+3327202</f>
        <v>4110099</v>
      </c>
      <c r="G12" s="10"/>
      <c r="H12" s="8">
        <f t="shared" si="2"/>
        <v>4110099</v>
      </c>
      <c r="I12" s="9">
        <f t="shared" si="3"/>
        <v>686136088.9799999</v>
      </c>
    </row>
    <row r="13" spans="1:9">
      <c r="A13" s="2">
        <v>2001</v>
      </c>
      <c r="B13" s="10">
        <v>252441.8</v>
      </c>
      <c r="C13" s="8">
        <f t="shared" si="0"/>
        <v>126220900</v>
      </c>
      <c r="D13" s="10"/>
      <c r="E13" s="32">
        <f t="shared" si="1"/>
        <v>126220900</v>
      </c>
      <c r="F13" s="8">
        <f>+B13*14.5</f>
        <v>3660406.0999999996</v>
      </c>
      <c r="G13" s="10"/>
      <c r="H13" s="8">
        <f t="shared" si="2"/>
        <v>3660406.0999999996</v>
      </c>
      <c r="I13" s="9">
        <f t="shared" si="3"/>
        <v>816017395.07999992</v>
      </c>
    </row>
    <row r="14" spans="1:9">
      <c r="A14" s="2">
        <v>2002</v>
      </c>
      <c r="B14" s="10">
        <v>282970.79599999997</v>
      </c>
      <c r="C14" s="8">
        <f t="shared" si="0"/>
        <v>141485398</v>
      </c>
      <c r="D14" s="10">
        <f>59715500+36206500</f>
        <v>95922000</v>
      </c>
      <c r="E14" s="32">
        <f t="shared" si="1"/>
        <v>45563398</v>
      </c>
      <c r="F14" s="8">
        <f>+B14*14.5</f>
        <v>4103076.5419999994</v>
      </c>
      <c r="G14" s="10">
        <f>98699648-D14</f>
        <v>2777648</v>
      </c>
      <c r="H14" s="8">
        <f t="shared" si="2"/>
        <v>1325428.5419999994</v>
      </c>
      <c r="I14" s="9">
        <f t="shared" si="3"/>
        <v>862906221.62199998</v>
      </c>
    </row>
    <row r="15" spans="1:9">
      <c r="A15" s="2">
        <v>2003</v>
      </c>
      <c r="B15" s="10">
        <v>311751.24900000001</v>
      </c>
      <c r="C15" s="8">
        <f t="shared" si="0"/>
        <v>155875624.5</v>
      </c>
      <c r="D15" s="10"/>
      <c r="E15" s="32">
        <f t="shared" si="1"/>
        <v>155875624.5</v>
      </c>
      <c r="F15" s="8">
        <f>+B15*14.5</f>
        <v>4520393.1105000004</v>
      </c>
      <c r="G15" s="10"/>
      <c r="H15" s="8">
        <f t="shared" si="2"/>
        <v>4520393.1105000004</v>
      </c>
      <c r="I15" s="9">
        <f t="shared" si="3"/>
        <v>1023302239.2325</v>
      </c>
    </row>
    <row r="16" spans="1:9">
      <c r="A16" s="2">
        <v>2004</v>
      </c>
      <c r="B16" s="10">
        <v>289584</v>
      </c>
      <c r="C16" s="8">
        <f t="shared" si="0"/>
        <v>144792000</v>
      </c>
      <c r="D16" s="10"/>
      <c r="E16" s="32">
        <f t="shared" si="1"/>
        <v>144792000</v>
      </c>
      <c r="F16" s="8">
        <f>+B16*14.5</f>
        <v>4198968</v>
      </c>
      <c r="G16" s="10"/>
      <c r="H16" s="8">
        <f t="shared" si="2"/>
        <v>4198968</v>
      </c>
      <c r="I16" s="9">
        <f t="shared" si="3"/>
        <v>1172293207.2325001</v>
      </c>
    </row>
    <row r="17" spans="1:9">
      <c r="A17" s="11">
        <v>38443</v>
      </c>
      <c r="B17" s="10">
        <v>65523.82</v>
      </c>
      <c r="C17" s="8">
        <v>32761974</v>
      </c>
      <c r="D17" s="10">
        <v>13874161</v>
      </c>
      <c r="E17" s="32">
        <f t="shared" si="1"/>
        <v>18887813</v>
      </c>
      <c r="F17" s="8">
        <f>163811+786288</f>
        <v>950099</v>
      </c>
      <c r="G17" s="10"/>
      <c r="H17" s="8">
        <f t="shared" si="2"/>
        <v>950099</v>
      </c>
      <c r="I17" s="9">
        <f t="shared" si="3"/>
        <v>1192131119.2325001</v>
      </c>
    </row>
    <row r="18" spans="1:9">
      <c r="A18" s="15" t="s">
        <v>12</v>
      </c>
      <c r="B18" s="10"/>
      <c r="C18" s="8">
        <f t="shared" si="0"/>
        <v>0</v>
      </c>
      <c r="D18" s="10">
        <v>50000000</v>
      </c>
      <c r="E18" s="32">
        <f t="shared" si="1"/>
        <v>-50000000</v>
      </c>
      <c r="F18" s="8">
        <f t="shared" ref="F18:F37" si="4">+B18*14.5</f>
        <v>0</v>
      </c>
      <c r="G18" s="10"/>
      <c r="H18" s="8">
        <f t="shared" si="2"/>
        <v>0</v>
      </c>
      <c r="I18" s="9">
        <f t="shared" si="3"/>
        <v>1142131119.2325001</v>
      </c>
    </row>
    <row r="19" spans="1:9">
      <c r="A19" s="15" t="s">
        <v>13</v>
      </c>
      <c r="B19" s="10"/>
      <c r="C19" s="8">
        <f t="shared" si="0"/>
        <v>0</v>
      </c>
      <c r="D19" s="10">
        <v>20000000</v>
      </c>
      <c r="E19" s="32">
        <f t="shared" si="1"/>
        <v>-20000000</v>
      </c>
      <c r="F19" s="8">
        <f t="shared" si="4"/>
        <v>0</v>
      </c>
      <c r="G19" s="10"/>
      <c r="H19" s="8">
        <f t="shared" si="2"/>
        <v>0</v>
      </c>
      <c r="I19" s="9">
        <f t="shared" si="3"/>
        <v>1122131119.2325001</v>
      </c>
    </row>
    <row r="20" spans="1:9">
      <c r="A20" s="15" t="s">
        <v>14</v>
      </c>
      <c r="B20" s="10">
        <v>119630.18</v>
      </c>
      <c r="C20" s="8">
        <f t="shared" si="0"/>
        <v>59815090</v>
      </c>
      <c r="D20" s="10">
        <f>(61514998/514.5*500)+195850+175164+224344+668473+0</f>
        <v>61045170.164237119</v>
      </c>
      <c r="E20" s="32">
        <f t="shared" si="1"/>
        <v>-1230080.1642371193</v>
      </c>
      <c r="F20" s="8">
        <f t="shared" si="4"/>
        <v>1734637.6099999999</v>
      </c>
      <c r="G20" s="10">
        <f>(61514998*14.5/514.5)-195850-175164-224344-668473</f>
        <v>469827.83576287655</v>
      </c>
      <c r="H20" s="8">
        <f t="shared" si="2"/>
        <v>1264809.7742371233</v>
      </c>
      <c r="I20" s="9">
        <f t="shared" si="3"/>
        <v>1122165848.8425002</v>
      </c>
    </row>
    <row r="21" spans="1:9">
      <c r="A21" s="15" t="s">
        <v>15</v>
      </c>
      <c r="B21" s="10">
        <v>45261.84</v>
      </c>
      <c r="C21" s="8">
        <f t="shared" si="0"/>
        <v>22630920</v>
      </c>
      <c r="D21" s="10">
        <f>23287218*500/514.5+4</f>
        <v>22630925.282798834</v>
      </c>
      <c r="E21" s="32">
        <f>+C21-D21</f>
        <v>-5.2827988341450691</v>
      </c>
      <c r="F21" s="8">
        <f t="shared" si="4"/>
        <v>656296.67999999993</v>
      </c>
      <c r="G21" s="10">
        <f>23287219*14.5/514.5-5</f>
        <v>656291.74538386788</v>
      </c>
      <c r="H21" s="8">
        <f t="shared" si="2"/>
        <v>4.9346161320572719</v>
      </c>
      <c r="I21" s="9">
        <f t="shared" si="3"/>
        <v>1122165848.4943175</v>
      </c>
    </row>
    <row r="22" spans="1:9">
      <c r="A22" s="15">
        <v>2006</v>
      </c>
      <c r="B22" s="10">
        <v>238590.35</v>
      </c>
      <c r="C22" s="8">
        <f t="shared" si="0"/>
        <v>119295175</v>
      </c>
      <c r="D22" s="10">
        <f>45707255/514.5*500+24</f>
        <v>44419125.06899903</v>
      </c>
      <c r="E22" s="32">
        <f t="shared" si="1"/>
        <v>74876049.931000978</v>
      </c>
      <c r="F22" s="8">
        <f t="shared" si="4"/>
        <v>3459560.0750000002</v>
      </c>
      <c r="G22" s="10">
        <f>45707255/514.5*14.5-24</f>
        <v>1288129.9310009719</v>
      </c>
      <c r="H22" s="8">
        <f t="shared" si="2"/>
        <v>2171430.143999028</v>
      </c>
      <c r="I22" s="9">
        <f t="shared" si="3"/>
        <v>1199213328.5693176</v>
      </c>
    </row>
    <row r="23" spans="1:9">
      <c r="A23" s="15" t="s">
        <v>16</v>
      </c>
      <c r="B23" s="10">
        <v>87571.62</v>
      </c>
      <c r="C23" s="8">
        <f t="shared" si="0"/>
        <v>43785810</v>
      </c>
      <c r="D23" s="10">
        <f>77047479*500/514.5</f>
        <v>74876072.886297375</v>
      </c>
      <c r="E23" s="32">
        <f t="shared" si="1"/>
        <v>-31090262.886297375</v>
      </c>
      <c r="F23" s="8">
        <f t="shared" si="4"/>
        <v>1269788.49</v>
      </c>
      <c r="G23" s="10">
        <f>77047479*14.5/514.5</f>
        <v>2171406.1137026241</v>
      </c>
      <c r="H23" s="8">
        <f t="shared" si="2"/>
        <v>-901617.62370262411</v>
      </c>
      <c r="I23" s="9">
        <f t="shared" si="3"/>
        <v>1167221448.0593176</v>
      </c>
    </row>
    <row r="24" spans="1:9">
      <c r="A24" s="15" t="s">
        <v>17</v>
      </c>
      <c r="B24" s="10">
        <v>158444.73000000001</v>
      </c>
      <c r="C24" s="8">
        <f t="shared" si="0"/>
        <v>79222365</v>
      </c>
      <c r="D24" s="10">
        <f>47973696*500/514.5-21</f>
        <v>46621646.638483964</v>
      </c>
      <c r="E24" s="32">
        <f t="shared" si="1"/>
        <v>32600718.361516036</v>
      </c>
      <c r="F24" s="8">
        <f t="shared" si="4"/>
        <v>2297448.585</v>
      </c>
      <c r="G24" s="10">
        <f>47973696*14.5/514.5+21</f>
        <v>1352049.3615160349</v>
      </c>
      <c r="H24" s="8">
        <f t="shared" si="2"/>
        <v>945399.22348396503</v>
      </c>
      <c r="I24" s="9">
        <f t="shared" si="3"/>
        <v>1200767565.6443176</v>
      </c>
    </row>
    <row r="25" spans="1:9">
      <c r="A25" s="15" t="s">
        <v>18</v>
      </c>
      <c r="B25" s="10">
        <v>86369.17</v>
      </c>
      <c r="C25" s="8">
        <f t="shared" si="0"/>
        <v>43184585</v>
      </c>
      <c r="D25" s="10"/>
      <c r="E25" s="32">
        <f t="shared" si="1"/>
        <v>43184585</v>
      </c>
      <c r="F25" s="8">
        <f t="shared" si="4"/>
        <v>1252352.9650000001</v>
      </c>
      <c r="G25" s="10"/>
      <c r="H25" s="8">
        <f t="shared" si="2"/>
        <v>1252352.9650000001</v>
      </c>
      <c r="I25" s="9">
        <f t="shared" si="3"/>
        <v>1245204503.6093175</v>
      </c>
    </row>
    <row r="26" spans="1:9">
      <c r="A26" s="15" t="s">
        <v>19</v>
      </c>
      <c r="C26" s="8"/>
      <c r="D26" s="10">
        <f>33730416*500/514.5</f>
        <v>32779801.749271136</v>
      </c>
      <c r="E26" s="32">
        <f t="shared" si="1"/>
        <v>-32779801.749271136</v>
      </c>
      <c r="F26" s="8">
        <f t="shared" si="4"/>
        <v>0</v>
      </c>
      <c r="G26" s="10">
        <f>33730416/514.5*14.5</f>
        <v>950614.25072886294</v>
      </c>
      <c r="H26" s="8">
        <f t="shared" si="2"/>
        <v>-950614.25072886294</v>
      </c>
      <c r="I26" s="9">
        <f t="shared" si="3"/>
        <v>1211474087.6093175</v>
      </c>
    </row>
    <row r="27" spans="1:9">
      <c r="A27" s="15" t="s">
        <v>29</v>
      </c>
      <c r="B27" s="10">
        <v>118991.73</v>
      </c>
      <c r="C27" s="8">
        <f t="shared" si="0"/>
        <v>59495865</v>
      </c>
      <c r="D27" s="10"/>
      <c r="E27" s="32">
        <f t="shared" si="1"/>
        <v>59495865</v>
      </c>
      <c r="F27" s="8">
        <f t="shared" si="4"/>
        <v>1725380.085</v>
      </c>
      <c r="G27" s="10"/>
      <c r="H27" s="8">
        <f t="shared" si="2"/>
        <v>1725380.085</v>
      </c>
      <c r="I27" s="9">
        <f t="shared" si="3"/>
        <v>1272695332.6943176</v>
      </c>
    </row>
    <row r="28" spans="1:9">
      <c r="A28" s="15" t="s">
        <v>20</v>
      </c>
      <c r="B28" s="10"/>
      <c r="C28" s="8">
        <f t="shared" si="0"/>
        <v>0</v>
      </c>
      <c r="D28" s="10">
        <f>75881463*500/514.5</f>
        <v>73742918.367346942</v>
      </c>
      <c r="E28" s="32">
        <f t="shared" si="1"/>
        <v>-73742918.367346942</v>
      </c>
      <c r="F28" s="8">
        <f t="shared" si="4"/>
        <v>0</v>
      </c>
      <c r="G28" s="10">
        <f>75881463*14.5/514.5</f>
        <v>2138544.6326530613</v>
      </c>
      <c r="H28" s="8">
        <f t="shared" si="2"/>
        <v>-2138544.6326530613</v>
      </c>
      <c r="I28" s="9">
        <f t="shared" si="3"/>
        <v>1196813869.6943176</v>
      </c>
    </row>
    <row r="29" spans="1:9">
      <c r="A29" s="15" t="s">
        <v>21</v>
      </c>
      <c r="B29" s="10">
        <v>148515.29</v>
      </c>
      <c r="C29" s="8">
        <f t="shared" si="0"/>
        <v>74257645</v>
      </c>
      <c r="D29" s="10"/>
      <c r="E29" s="32">
        <f t="shared" si="1"/>
        <v>74257645</v>
      </c>
      <c r="F29" s="8">
        <f t="shared" si="4"/>
        <v>2153471.7050000001</v>
      </c>
      <c r="G29" s="10"/>
      <c r="H29" s="8">
        <f t="shared" si="2"/>
        <v>2153471.7050000001</v>
      </c>
      <c r="I29" s="9">
        <f t="shared" si="3"/>
        <v>1273224986.3993175</v>
      </c>
    </row>
    <row r="30" spans="1:9">
      <c r="A30" s="15" t="s">
        <v>22</v>
      </c>
      <c r="B30" s="10"/>
      <c r="C30" s="8">
        <f t="shared" si="0"/>
        <v>0</v>
      </c>
      <c r="D30" s="10">
        <f>20000000*500/514.5</f>
        <v>19436345.966958214</v>
      </c>
      <c r="E30" s="32">
        <f t="shared" si="1"/>
        <v>-19436345.966958214</v>
      </c>
      <c r="F30" s="8">
        <f t="shared" si="4"/>
        <v>0</v>
      </c>
      <c r="G30" s="10">
        <f>20000000*14.5/514.5</f>
        <v>563654.03304178815</v>
      </c>
      <c r="H30" s="8">
        <f t="shared" si="2"/>
        <v>-563654.03304178815</v>
      </c>
      <c r="I30" s="9">
        <f t="shared" si="3"/>
        <v>1253224986.3993175</v>
      </c>
    </row>
    <row r="31" spans="1:9">
      <c r="A31" s="15" t="s">
        <v>23</v>
      </c>
      <c r="B31" s="10"/>
      <c r="C31" s="8">
        <f t="shared" si="0"/>
        <v>0</v>
      </c>
      <c r="D31" s="10">
        <v>10457001</v>
      </c>
      <c r="E31" s="32">
        <f t="shared" si="1"/>
        <v>-10457001</v>
      </c>
      <c r="F31" s="8">
        <f t="shared" si="4"/>
        <v>0</v>
      </c>
      <c r="G31" s="10"/>
      <c r="H31" s="8">
        <f t="shared" si="2"/>
        <v>0</v>
      </c>
      <c r="I31" s="9">
        <f t="shared" si="3"/>
        <v>1242767985.3993175</v>
      </c>
    </row>
    <row r="32" spans="1:9">
      <c r="A32" s="15" t="s">
        <v>24</v>
      </c>
      <c r="B32" s="10"/>
      <c r="C32" s="8">
        <f t="shared" si="0"/>
        <v>0</v>
      </c>
      <c r="D32" s="10">
        <v>44191022</v>
      </c>
      <c r="E32" s="32">
        <f t="shared" si="1"/>
        <v>-44191022</v>
      </c>
      <c r="F32" s="8">
        <f t="shared" si="4"/>
        <v>0</v>
      </c>
      <c r="G32" s="10"/>
      <c r="H32" s="8">
        <f t="shared" si="2"/>
        <v>0</v>
      </c>
      <c r="I32" s="9">
        <f t="shared" si="3"/>
        <v>1198576963.3993175</v>
      </c>
    </row>
    <row r="33" spans="1:9">
      <c r="A33" s="15" t="s">
        <v>25</v>
      </c>
      <c r="B33" s="10">
        <v>70813.490000000005</v>
      </c>
      <c r="C33" s="8">
        <f t="shared" si="0"/>
        <v>35406745</v>
      </c>
      <c r="D33" s="10"/>
      <c r="E33" s="32">
        <f t="shared" si="1"/>
        <v>35406745</v>
      </c>
      <c r="F33" s="8">
        <f t="shared" si="4"/>
        <v>1026795.6050000001</v>
      </c>
      <c r="G33" s="10"/>
      <c r="H33" s="8">
        <f t="shared" si="2"/>
        <v>1026795.6050000001</v>
      </c>
      <c r="I33" s="9">
        <f t="shared" si="3"/>
        <v>1235010504.0043175</v>
      </c>
    </row>
    <row r="34" spans="1:9">
      <c r="A34" s="15" t="s">
        <v>60</v>
      </c>
      <c r="B34" s="10"/>
      <c r="C34" s="8">
        <f t="shared" si="0"/>
        <v>0</v>
      </c>
      <c r="D34" s="10">
        <f>112844658*500/514.5</f>
        <v>109664390.67055394</v>
      </c>
      <c r="E34" s="32">
        <f t="shared" si="1"/>
        <v>-109664390.67055394</v>
      </c>
      <c r="F34" s="8">
        <f t="shared" si="4"/>
        <v>0</v>
      </c>
      <c r="G34" s="10">
        <f>112844658*14.5/514.5</f>
        <v>3180267.3294460643</v>
      </c>
      <c r="H34" s="8">
        <f t="shared" si="2"/>
        <v>-3180267.3294460643</v>
      </c>
      <c r="I34" s="9">
        <f t="shared" si="3"/>
        <v>1122165846.0043175</v>
      </c>
    </row>
    <row r="35" spans="1:9">
      <c r="A35" s="15" t="s">
        <v>61</v>
      </c>
      <c r="B35" s="10"/>
      <c r="C35" s="8">
        <f t="shared" si="0"/>
        <v>0</v>
      </c>
      <c r="D35" s="10">
        <f>6022094*500/514.5</f>
        <v>5852375.1214771625</v>
      </c>
      <c r="E35" s="32">
        <f t="shared" si="1"/>
        <v>-5852375.1214771625</v>
      </c>
      <c r="F35" s="8">
        <f t="shared" si="4"/>
        <v>0</v>
      </c>
      <c r="G35" s="10">
        <f>6022094*14.5/514.5</f>
        <v>169718.87852283771</v>
      </c>
      <c r="H35" s="8">
        <f t="shared" si="2"/>
        <v>-169718.87852283771</v>
      </c>
      <c r="I35" s="9">
        <f t="shared" si="3"/>
        <v>1116143752.0043175</v>
      </c>
    </row>
    <row r="36" spans="1:9">
      <c r="A36" s="15" t="s">
        <v>62</v>
      </c>
      <c r="B36" s="10"/>
      <c r="C36" s="8">
        <f t="shared" si="0"/>
        <v>0</v>
      </c>
      <c r="D36" s="10">
        <f>17040394*500/514.5</f>
        <v>16560149.659863945</v>
      </c>
      <c r="E36" s="32">
        <f t="shared" si="1"/>
        <v>-16560149.659863945</v>
      </c>
      <c r="F36" s="8">
        <f t="shared" si="4"/>
        <v>0</v>
      </c>
      <c r="G36" s="10">
        <f>17040394*14.5/514.5</f>
        <v>480244.34013605444</v>
      </c>
      <c r="H36" s="8">
        <f t="shared" si="2"/>
        <v>-480244.34013605444</v>
      </c>
      <c r="I36" s="9">
        <f t="shared" si="3"/>
        <v>1099103358.0043175</v>
      </c>
    </row>
    <row r="37" spans="1:9">
      <c r="A37" s="15" t="s">
        <v>26</v>
      </c>
      <c r="B37" s="10">
        <v>196160.76</v>
      </c>
      <c r="C37" s="8">
        <f t="shared" si="0"/>
        <v>98080380</v>
      </c>
      <c r="D37" s="10"/>
      <c r="E37" s="32">
        <f t="shared" si="1"/>
        <v>98080380</v>
      </c>
      <c r="F37" s="8">
        <f t="shared" si="4"/>
        <v>2844331.02</v>
      </c>
      <c r="G37" s="10"/>
      <c r="H37" s="8">
        <f t="shared" si="2"/>
        <v>2844331.02</v>
      </c>
      <c r="I37" s="9">
        <f t="shared" si="3"/>
        <v>1200028069.0243175</v>
      </c>
    </row>
    <row r="38" spans="1:9">
      <c r="A38" s="2"/>
      <c r="B38" s="10"/>
      <c r="C38" s="8"/>
      <c r="D38" s="10"/>
      <c r="E38" s="32"/>
      <c r="F38" s="8"/>
      <c r="G38" s="10"/>
      <c r="H38" s="8"/>
      <c r="I38" s="9"/>
    </row>
    <row r="39" spans="1:9" ht="13.5" thickBot="1">
      <c r="A39" s="2"/>
      <c r="B39" s="13">
        <f t="shared" ref="B39:H39" si="5">SUM(B7:B38)</f>
        <v>3805563.5350000001</v>
      </c>
      <c r="C39" s="13">
        <f t="shared" si="5"/>
        <v>1902781831.5</v>
      </c>
      <c r="D39" s="13">
        <f t="shared" si="5"/>
        <v>742073105.57628751</v>
      </c>
      <c r="E39" s="33">
        <f t="shared" si="5"/>
        <v>1160708725.9237123</v>
      </c>
      <c r="F39" s="13">
        <f t="shared" si="5"/>
        <v>55517739.55250001</v>
      </c>
      <c r="G39" s="13">
        <f t="shared" si="5"/>
        <v>16198396.451895043</v>
      </c>
      <c r="H39" s="13">
        <f t="shared" si="5"/>
        <v>39319343.100604974</v>
      </c>
      <c r="I39" s="10"/>
    </row>
    <row r="40" spans="1:9" ht="13.5" thickTop="1">
      <c r="A40" s="2"/>
      <c r="B40" s="8"/>
      <c r="C40" s="8"/>
      <c r="D40" s="8"/>
      <c r="E40" s="8"/>
      <c r="F40" s="8"/>
      <c r="G40" s="8"/>
      <c r="H40" s="8"/>
      <c r="I40" s="9"/>
    </row>
    <row r="41" spans="1:9">
      <c r="A41" s="2"/>
      <c r="B41" s="10"/>
      <c r="C41" s="8"/>
      <c r="D41" s="10"/>
      <c r="E41" s="8"/>
      <c r="F41" s="8"/>
      <c r="G41" s="10"/>
      <c r="H41" s="8"/>
      <c r="I41" s="9"/>
    </row>
    <row r="42" spans="1:9">
      <c r="A42" s="2"/>
      <c r="B42" s="10"/>
      <c r="C42" s="8"/>
      <c r="D42" s="10"/>
      <c r="E42" s="8"/>
      <c r="F42" s="8"/>
      <c r="G42" s="10"/>
      <c r="H42" s="8"/>
      <c r="I42" s="9"/>
    </row>
    <row r="43" spans="1:9">
      <c r="A43" s="2"/>
      <c r="B43" s="10"/>
      <c r="C43" s="8"/>
      <c r="D43" s="10"/>
      <c r="E43" s="8"/>
      <c r="F43" s="8"/>
      <c r="G43" s="10"/>
      <c r="H43" s="8"/>
      <c r="I43" s="9"/>
    </row>
    <row r="44" spans="1:9">
      <c r="A44" s="2"/>
      <c r="B44" s="10"/>
      <c r="C44" s="8"/>
      <c r="D44" s="10"/>
      <c r="E44" s="8"/>
      <c r="F44" s="8"/>
      <c r="G44" s="10"/>
      <c r="H44" s="8"/>
      <c r="I44" s="9"/>
    </row>
    <row r="47" spans="1:9">
      <c r="A47" s="1" t="s">
        <v>59</v>
      </c>
    </row>
    <row r="48" spans="1:9">
      <c r="A48" s="1" t="s">
        <v>53</v>
      </c>
    </row>
    <row r="49" spans="1:7">
      <c r="A49" s="1" t="s">
        <v>54</v>
      </c>
    </row>
    <row r="50" spans="1:7">
      <c r="A50" s="1" t="s">
        <v>52</v>
      </c>
    </row>
    <row r="52" spans="1:7">
      <c r="A52" s="2"/>
      <c r="B52" s="2"/>
      <c r="C52" s="2"/>
      <c r="D52" s="2"/>
      <c r="E52" s="27"/>
      <c r="F52" s="23" t="s">
        <v>71</v>
      </c>
      <c r="G52" s="14"/>
    </row>
    <row r="53" spans="1:7">
      <c r="A53" s="2" t="s">
        <v>30</v>
      </c>
      <c r="B53" s="2"/>
      <c r="C53" s="2"/>
      <c r="D53" s="10"/>
      <c r="E53" s="22">
        <v>1254785400</v>
      </c>
      <c r="F53" s="10"/>
      <c r="G53" s="14"/>
    </row>
    <row r="54" spans="1:7">
      <c r="A54" s="3" t="s">
        <v>31</v>
      </c>
      <c r="B54" s="2"/>
      <c r="C54" s="2"/>
      <c r="D54" s="10"/>
      <c r="E54" s="10"/>
      <c r="F54" s="2"/>
      <c r="G54" s="14"/>
    </row>
    <row r="55" spans="1:7">
      <c r="A55" s="2" t="s">
        <v>33</v>
      </c>
      <c r="B55" s="2"/>
      <c r="C55" s="2"/>
      <c r="D55" s="10">
        <v>26645970</v>
      </c>
      <c r="E55" s="10"/>
      <c r="F55" s="18" t="s">
        <v>74</v>
      </c>
      <c r="G55" s="14"/>
    </row>
    <row r="56" spans="1:7">
      <c r="A56" s="2" t="s">
        <v>34</v>
      </c>
      <c r="B56" s="2"/>
      <c r="C56" s="2"/>
      <c r="D56" s="10">
        <v>620</v>
      </c>
      <c r="E56" s="10"/>
      <c r="F56" s="18" t="s">
        <v>75</v>
      </c>
      <c r="G56" s="14"/>
    </row>
    <row r="57" spans="1:7">
      <c r="A57" s="2" t="s">
        <v>40</v>
      </c>
      <c r="B57" s="2"/>
      <c r="C57" s="2"/>
      <c r="D57" s="10">
        <f>141485398-141018000</f>
        <v>467398</v>
      </c>
      <c r="E57" s="10"/>
      <c r="F57" s="18" t="s">
        <v>76</v>
      </c>
      <c r="G57" s="14"/>
    </row>
    <row r="58" spans="1:7">
      <c r="A58" s="2" t="s">
        <v>41</v>
      </c>
      <c r="B58" s="2"/>
      <c r="C58" s="2"/>
      <c r="D58" s="10">
        <f>155875624-155870500</f>
        <v>5124</v>
      </c>
      <c r="E58" s="10"/>
      <c r="F58" s="18" t="s">
        <v>77</v>
      </c>
      <c r="G58" s="14"/>
    </row>
    <row r="59" spans="1:7">
      <c r="A59" s="2" t="s">
        <v>42</v>
      </c>
      <c r="B59" s="2"/>
      <c r="C59" s="2"/>
      <c r="D59" s="10">
        <f>144792000-144782500</f>
        <v>9500</v>
      </c>
      <c r="E59" s="10"/>
      <c r="F59" s="18" t="s">
        <v>78</v>
      </c>
      <c r="G59" s="14"/>
    </row>
    <row r="60" spans="1:7">
      <c r="A60" s="2" t="s">
        <v>43</v>
      </c>
      <c r="B60" s="2"/>
      <c r="C60" s="2"/>
      <c r="D60" s="10">
        <v>33569</v>
      </c>
      <c r="E60" s="10"/>
      <c r="F60" s="18" t="s">
        <v>79</v>
      </c>
      <c r="G60" s="14"/>
    </row>
    <row r="61" spans="1:7">
      <c r="A61" s="2" t="s">
        <v>45</v>
      </c>
      <c r="B61" s="2"/>
      <c r="C61" s="2"/>
      <c r="D61" s="10">
        <v>17</v>
      </c>
      <c r="E61" s="10"/>
      <c r="F61" s="18" t="s">
        <v>80</v>
      </c>
      <c r="G61" s="14"/>
    </row>
    <row r="62" spans="1:7">
      <c r="A62" s="2" t="s">
        <v>47</v>
      </c>
      <c r="B62" s="2"/>
      <c r="C62" s="2"/>
      <c r="D62" s="10">
        <v>9</v>
      </c>
      <c r="E62" s="10"/>
      <c r="F62" s="18" t="s">
        <v>81</v>
      </c>
      <c r="G62" s="14"/>
    </row>
    <row r="63" spans="1:7">
      <c r="A63" s="35" t="s">
        <v>94</v>
      </c>
      <c r="B63" s="2"/>
      <c r="C63" s="2"/>
      <c r="D63" s="10">
        <v>718731</v>
      </c>
      <c r="E63" s="2"/>
      <c r="F63" s="34" t="s">
        <v>95</v>
      </c>
      <c r="G63" s="14"/>
    </row>
    <row r="64" spans="1:7">
      <c r="A64" s="2" t="s">
        <v>57</v>
      </c>
      <c r="B64" s="2"/>
      <c r="C64" s="2"/>
      <c r="D64" s="10">
        <v>13</v>
      </c>
      <c r="E64" s="36">
        <f>SUM(D55:D64)</f>
        <v>27880951</v>
      </c>
      <c r="F64" s="10" t="s">
        <v>73</v>
      </c>
      <c r="G64" s="14"/>
    </row>
    <row r="65" spans="1:8">
      <c r="A65" s="2"/>
      <c r="B65" s="2"/>
      <c r="C65" s="2"/>
      <c r="D65" s="10"/>
      <c r="E65" s="10"/>
      <c r="F65" s="10"/>
      <c r="G65" s="14"/>
    </row>
    <row r="66" spans="1:8">
      <c r="A66" s="3" t="s">
        <v>32</v>
      </c>
      <c r="B66" s="2"/>
      <c r="C66" s="2"/>
      <c r="D66" s="37"/>
      <c r="E66" s="10"/>
      <c r="F66" s="10"/>
      <c r="G66" s="14"/>
      <c r="H66" s="14">
        <f>162371.058*500</f>
        <v>81185529</v>
      </c>
    </row>
    <row r="67" spans="1:8">
      <c r="A67" s="2" t="s">
        <v>35</v>
      </c>
      <c r="B67" s="2"/>
      <c r="C67" s="2"/>
      <c r="D67" s="37">
        <v>320</v>
      </c>
      <c r="E67" s="10"/>
      <c r="F67" s="18" t="s">
        <v>82</v>
      </c>
      <c r="G67" s="14"/>
      <c r="H67">
        <f>162371.058*500</f>
        <v>81185529</v>
      </c>
    </row>
    <row r="68" spans="1:8">
      <c r="A68" s="2" t="s">
        <v>36</v>
      </c>
      <c r="B68" s="2"/>
      <c r="C68" s="2"/>
      <c r="D68" s="37">
        <f>118387100-118385990</f>
        <v>1110</v>
      </c>
      <c r="E68" s="10"/>
      <c r="F68" s="18" t="s">
        <v>83</v>
      </c>
      <c r="G68" s="14"/>
    </row>
    <row r="69" spans="1:8">
      <c r="A69" s="2" t="s">
        <v>37</v>
      </c>
      <c r="B69" s="2"/>
      <c r="C69" s="2"/>
      <c r="D69" s="37">
        <f>135471075-135470660</f>
        <v>415</v>
      </c>
      <c r="E69" s="10"/>
      <c r="F69" s="18" t="s">
        <v>84</v>
      </c>
      <c r="G69" s="14"/>
    </row>
    <row r="70" spans="1:8">
      <c r="A70" s="2" t="s">
        <v>38</v>
      </c>
      <c r="B70" s="2"/>
      <c r="C70" s="2"/>
      <c r="D70" s="37">
        <f>138725000-138633435</f>
        <v>91565</v>
      </c>
      <c r="E70" s="10"/>
      <c r="F70" s="18" t="s">
        <v>85</v>
      </c>
      <c r="G70" s="14"/>
    </row>
    <row r="71" spans="1:8">
      <c r="A71" s="2" t="s">
        <v>39</v>
      </c>
      <c r="B71" s="2"/>
      <c r="C71" s="2"/>
      <c r="D71" s="37">
        <f>127233000-126220900</f>
        <v>1012100</v>
      </c>
      <c r="E71" s="10"/>
      <c r="F71" s="18" t="s">
        <v>86</v>
      </c>
      <c r="G71" s="14"/>
    </row>
    <row r="72" spans="1:8">
      <c r="A72" s="2" t="s">
        <v>44</v>
      </c>
      <c r="B72" s="2"/>
      <c r="C72" s="2"/>
      <c r="D72" s="37">
        <v>22</v>
      </c>
      <c r="E72" s="10"/>
      <c r="F72" s="18" t="s">
        <v>87</v>
      </c>
      <c r="G72" s="14"/>
    </row>
    <row r="73" spans="1:8">
      <c r="A73" s="2" t="s">
        <v>46</v>
      </c>
      <c r="B73" s="2"/>
      <c r="C73" s="2"/>
      <c r="D73" s="37">
        <v>2</v>
      </c>
      <c r="E73" s="10"/>
      <c r="F73" s="18" t="s">
        <v>88</v>
      </c>
      <c r="G73" s="14"/>
    </row>
    <row r="74" spans="1:8">
      <c r="A74" s="2" t="s">
        <v>48</v>
      </c>
      <c r="B74" s="2"/>
      <c r="C74" s="2"/>
      <c r="D74" s="37">
        <v>27280620</v>
      </c>
      <c r="E74" s="10"/>
      <c r="F74" s="18" t="s">
        <v>98</v>
      </c>
      <c r="G74" s="14"/>
    </row>
    <row r="75" spans="1:8">
      <c r="A75" s="35" t="s">
        <v>92</v>
      </c>
      <c r="B75" s="2"/>
      <c r="C75" s="2"/>
      <c r="D75" s="24">
        <f>3627619+12</f>
        <v>3627631</v>
      </c>
      <c r="E75" s="2"/>
      <c r="F75" s="18"/>
      <c r="G75" s="14"/>
      <c r="H75" s="12">
        <f>+D75-5167758</f>
        <v>-1540127</v>
      </c>
    </row>
    <row r="76" spans="1:8" ht="15">
      <c r="A76" s="25" t="s">
        <v>55</v>
      </c>
      <c r="B76" s="2"/>
      <c r="C76" s="2"/>
      <c r="D76" s="24">
        <v>16200920</v>
      </c>
      <c r="E76" s="10"/>
      <c r="F76" s="10"/>
      <c r="G76" s="14"/>
      <c r="H76">
        <f>294705+1245422</f>
        <v>1540127</v>
      </c>
    </row>
    <row r="77" spans="1:8" ht="17.25">
      <c r="A77" s="25" t="s">
        <v>56</v>
      </c>
      <c r="B77" s="2"/>
      <c r="C77" s="2"/>
      <c r="D77" s="24">
        <f>43606705+30136215</f>
        <v>73742920</v>
      </c>
      <c r="E77" s="22">
        <f>SUM(D67:D77)</f>
        <v>121957625</v>
      </c>
      <c r="F77" s="10"/>
      <c r="G77" s="38"/>
      <c r="H77" s="12"/>
    </row>
    <row r="78" spans="1:8" ht="15">
      <c r="A78" s="26"/>
      <c r="B78" s="2"/>
      <c r="C78" s="2"/>
      <c r="D78" s="24"/>
      <c r="E78" s="10"/>
      <c r="F78" s="10"/>
      <c r="G78" s="14"/>
    </row>
    <row r="79" spans="1:8">
      <c r="A79" s="2"/>
      <c r="B79" s="2"/>
      <c r="C79" s="2"/>
      <c r="D79" s="24"/>
      <c r="E79" s="10"/>
      <c r="F79" s="10"/>
      <c r="G79" s="14"/>
    </row>
    <row r="80" spans="1:8" ht="13.5" thickBot="1">
      <c r="A80" s="3" t="s">
        <v>51</v>
      </c>
      <c r="B80" s="2"/>
      <c r="C80" s="2"/>
      <c r="D80" s="10"/>
      <c r="E80" s="28">
        <f>+E53+E64-E77</f>
        <v>1160708726</v>
      </c>
      <c r="F80" s="10"/>
      <c r="G80" s="14"/>
    </row>
    <row r="81" spans="1:7" ht="13.5" thickTop="1">
      <c r="A81" s="2"/>
      <c r="B81" s="2"/>
      <c r="C81" s="2"/>
      <c r="D81" s="10"/>
      <c r="E81" s="8"/>
      <c r="F81" s="10"/>
      <c r="G81" s="14"/>
    </row>
    <row r="82" spans="1:7">
      <c r="A82" s="2"/>
      <c r="B82" s="2"/>
      <c r="C82" s="2"/>
      <c r="D82" s="10"/>
      <c r="E82" s="10"/>
      <c r="F82" s="10"/>
      <c r="G82" s="14"/>
    </row>
    <row r="83" spans="1:7">
      <c r="A83" s="2"/>
      <c r="B83" s="2"/>
      <c r="C83" s="2"/>
      <c r="D83" s="10"/>
      <c r="E83" s="10"/>
      <c r="F83" s="10"/>
      <c r="G83" s="14"/>
    </row>
    <row r="84" spans="1:7">
      <c r="D84" s="14"/>
      <c r="E84" s="14"/>
      <c r="F84" s="14"/>
      <c r="G84" s="14"/>
    </row>
    <row r="85" spans="1:7">
      <c r="D85" s="14">
        <f>+D77+D76</f>
        <v>89943840</v>
      </c>
      <c r="E85" s="14"/>
      <c r="F85" s="14"/>
      <c r="G85" s="14"/>
    </row>
    <row r="92" spans="1:7">
      <c r="A92" s="7"/>
    </row>
    <row r="93" spans="1:7">
      <c r="A93" s="7" t="s">
        <v>96</v>
      </c>
    </row>
    <row r="94" spans="1:7">
      <c r="A94" s="7" t="s">
        <v>97</v>
      </c>
    </row>
  </sheetData>
  <phoneticPr fontId="4" type="noConversion"/>
  <pageMargins left="0" right="0" top="0" bottom="0" header="0.5" footer="0.5"/>
  <pageSetup paperSize="5" scale="75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J18" sqref="J18"/>
    </sheetView>
  </sheetViews>
  <sheetFormatPr defaultRowHeight="12.75"/>
  <cols>
    <col min="1" max="1" width="42.42578125" bestFit="1" customWidth="1"/>
    <col min="2" max="2" width="19.7109375" bestFit="1" customWidth="1"/>
    <col min="3" max="3" width="14.85546875" customWidth="1"/>
    <col min="4" max="4" width="20.7109375" bestFit="1" customWidth="1"/>
    <col min="5" max="5" width="15.85546875" bestFit="1" customWidth="1"/>
    <col min="6" max="6" width="20.7109375" bestFit="1" customWidth="1"/>
    <col min="7" max="8" width="17.5703125" bestFit="1" customWidth="1"/>
    <col min="11" max="11" width="11" bestFit="1" customWidth="1"/>
  </cols>
  <sheetData>
    <row r="1" spans="1:11">
      <c r="C1" s="21" t="s">
        <v>1</v>
      </c>
    </row>
    <row r="2" spans="1:11" ht="15.75">
      <c r="A2" s="64"/>
      <c r="B2" s="64"/>
      <c r="C2" s="65" t="s">
        <v>113</v>
      </c>
      <c r="D2" s="64"/>
      <c r="E2" s="64"/>
      <c r="F2" s="64"/>
      <c r="G2" s="64"/>
      <c r="H2" s="64"/>
    </row>
    <row r="3" spans="1:11" s="7" customFormat="1" ht="15.75">
      <c r="A3" s="66"/>
      <c r="B3" s="66"/>
      <c r="C3" s="65" t="s">
        <v>129</v>
      </c>
      <c r="D3" s="66"/>
      <c r="E3" s="66"/>
      <c r="F3" s="66"/>
      <c r="G3" s="66"/>
      <c r="H3" s="66"/>
    </row>
    <row r="4" spans="1:11" ht="15">
      <c r="A4" s="64"/>
      <c r="B4" s="64"/>
      <c r="C4" s="64"/>
      <c r="D4" s="64"/>
      <c r="E4" s="64"/>
      <c r="F4" s="64"/>
      <c r="G4" s="64"/>
      <c r="H4" s="64"/>
    </row>
    <row r="5" spans="1:11" ht="15.75">
      <c r="A5" s="67" t="s">
        <v>2</v>
      </c>
      <c r="B5" s="67" t="s">
        <v>125</v>
      </c>
      <c r="C5" s="67" t="s">
        <v>108</v>
      </c>
      <c r="D5" s="67" t="s">
        <v>109</v>
      </c>
      <c r="E5" s="67" t="s">
        <v>110</v>
      </c>
      <c r="F5" s="67" t="s">
        <v>111</v>
      </c>
      <c r="G5" s="67" t="s">
        <v>114</v>
      </c>
      <c r="H5" s="67" t="s">
        <v>112</v>
      </c>
    </row>
    <row r="6" spans="1:11" ht="15.75">
      <c r="A6" s="67"/>
      <c r="B6" s="68" t="s">
        <v>90</v>
      </c>
      <c r="C6" s="68" t="s">
        <v>90</v>
      </c>
      <c r="D6" s="68" t="s">
        <v>90</v>
      </c>
      <c r="E6" s="68" t="s">
        <v>90</v>
      </c>
      <c r="F6" s="68" t="s">
        <v>90</v>
      </c>
      <c r="G6" s="68" t="s">
        <v>90</v>
      </c>
      <c r="H6" s="68" t="s">
        <v>90</v>
      </c>
    </row>
    <row r="7" spans="1:11" ht="15">
      <c r="A7" s="69" t="s">
        <v>132</v>
      </c>
      <c r="B7" s="71"/>
      <c r="C7" s="71"/>
      <c r="D7" s="72">
        <v>1160708726</v>
      </c>
      <c r="E7" s="72"/>
      <c r="F7" s="72">
        <f t="shared" ref="F7:F12" si="0">+D7</f>
        <v>1160708726</v>
      </c>
      <c r="G7" s="72">
        <v>695542140.33606911</v>
      </c>
      <c r="H7" s="72">
        <f>1160708726+G7</f>
        <v>1856250866.3360691</v>
      </c>
      <c r="K7">
        <v>1856250866.3360691</v>
      </c>
    </row>
    <row r="8" spans="1:11" ht="15">
      <c r="A8" s="69">
        <v>2011</v>
      </c>
      <c r="B8" s="72">
        <v>211574.64</v>
      </c>
      <c r="C8" s="72">
        <v>500</v>
      </c>
      <c r="D8" s="72">
        <f>+B8*C8</f>
        <v>105787320</v>
      </c>
      <c r="E8" s="72"/>
      <c r="F8" s="72">
        <f t="shared" si="0"/>
        <v>105787320</v>
      </c>
      <c r="G8" s="72">
        <v>69972482.158852339</v>
      </c>
      <c r="H8" s="72">
        <f>+H7+F8+G8</f>
        <v>2032010668.4949214</v>
      </c>
    </row>
    <row r="9" spans="1:11" ht="15">
      <c r="A9" s="69">
        <v>2012</v>
      </c>
      <c r="B9" s="72">
        <v>172461.89</v>
      </c>
      <c r="C9" s="72">
        <v>500</v>
      </c>
      <c r="D9" s="72">
        <f>+B9*C9</f>
        <v>86230945</v>
      </c>
      <c r="E9" s="72"/>
      <c r="F9" s="72">
        <f t="shared" si="0"/>
        <v>86230945</v>
      </c>
      <c r="G9" s="72">
        <v>76319721.358852312</v>
      </c>
      <c r="H9" s="72">
        <f>+H8+F9+G9</f>
        <v>2194561334.8537736</v>
      </c>
    </row>
    <row r="10" spans="1:11" ht="15">
      <c r="A10" s="69">
        <v>2013</v>
      </c>
      <c r="B10" s="72">
        <v>162371.05799999999</v>
      </c>
      <c r="C10" s="72">
        <v>500</v>
      </c>
      <c r="D10" s="72">
        <f>+B10*C10</f>
        <v>81185529</v>
      </c>
      <c r="E10" s="72"/>
      <c r="F10" s="72">
        <f t="shared" si="0"/>
        <v>81185529</v>
      </c>
      <c r="G10" s="72">
        <v>81493578.058852315</v>
      </c>
      <c r="H10" s="72">
        <f>+H9+F10+G10</f>
        <v>2357240441.9126258</v>
      </c>
    </row>
    <row r="11" spans="1:11" ht="15">
      <c r="A11" s="69">
        <v>2014</v>
      </c>
      <c r="B11" s="72">
        <v>186135.976</v>
      </c>
      <c r="C11" s="72">
        <v>500</v>
      </c>
      <c r="D11" s="72">
        <f>+B11*C11</f>
        <v>93067988</v>
      </c>
      <c r="E11" s="72"/>
      <c r="F11" s="72">
        <f t="shared" si="0"/>
        <v>93067988</v>
      </c>
      <c r="G11" s="72">
        <v>86364709.798852324</v>
      </c>
      <c r="H11" s="72">
        <f>+H10+F11+G11</f>
        <v>2536673139.7114782</v>
      </c>
    </row>
    <row r="12" spans="1:11" ht="15">
      <c r="A12" s="70" t="s">
        <v>134</v>
      </c>
      <c r="B12" s="73">
        <f>72133+K20</f>
        <v>94476.51</v>
      </c>
      <c r="C12" s="72">
        <v>500</v>
      </c>
      <c r="D12" s="72">
        <f>+B12*C12</f>
        <v>47238255</v>
      </c>
      <c r="E12" s="72"/>
      <c r="F12" s="72">
        <f t="shared" si="0"/>
        <v>47238255</v>
      </c>
      <c r="G12" s="72">
        <v>91948789.078852326</v>
      </c>
      <c r="H12" s="72">
        <f>+H11+F12+G12</f>
        <v>2675860183.7903304</v>
      </c>
      <c r="J12" s="12"/>
    </row>
    <row r="13" spans="1:11" ht="15">
      <c r="A13" s="69"/>
      <c r="B13" s="71"/>
      <c r="C13" s="71"/>
      <c r="D13" s="71"/>
      <c r="E13" s="71"/>
      <c r="F13" s="71"/>
      <c r="G13" s="71"/>
      <c r="H13" s="71"/>
    </row>
    <row r="14" spans="1:11" ht="16.5" thickBot="1">
      <c r="A14" s="67" t="s">
        <v>133</v>
      </c>
      <c r="B14" s="71"/>
      <c r="C14" s="71"/>
      <c r="D14" s="75">
        <f>SUM(D7:D12)</f>
        <v>1574218763</v>
      </c>
      <c r="E14" s="75">
        <f>SUM(E7:E12)</f>
        <v>0</v>
      </c>
      <c r="F14" s="75">
        <f>SUM(F7:F12)</f>
        <v>1574218763</v>
      </c>
      <c r="G14" s="75">
        <f>SUM(G7:G12)</f>
        <v>1101641420.7903306</v>
      </c>
      <c r="H14" s="71"/>
    </row>
    <row r="15" spans="1:11" ht="15.75" thickTop="1">
      <c r="A15" s="69"/>
      <c r="B15" s="71"/>
      <c r="C15" s="71"/>
      <c r="D15" s="74"/>
      <c r="E15" s="74"/>
      <c r="F15" s="74"/>
      <c r="G15" s="74"/>
      <c r="H15" s="71"/>
      <c r="J15" s="12"/>
    </row>
    <row r="16" spans="1:11" ht="15">
      <c r="A16" s="69"/>
      <c r="B16" s="71"/>
      <c r="C16" s="71"/>
      <c r="D16" s="71"/>
      <c r="E16" s="71"/>
      <c r="F16" s="71"/>
      <c r="G16" s="71"/>
      <c r="H16" s="71"/>
    </row>
    <row r="17" spans="1:11" ht="15">
      <c r="A17" s="69"/>
      <c r="B17" s="69"/>
      <c r="C17" s="69"/>
      <c r="D17" s="69"/>
      <c r="E17" s="69"/>
      <c r="F17" s="69"/>
      <c r="G17" s="69"/>
      <c r="H17" s="69"/>
    </row>
    <row r="18" spans="1:11" ht="15">
      <c r="A18" s="69"/>
      <c r="B18" s="69"/>
      <c r="C18" s="69"/>
      <c r="D18" s="69"/>
      <c r="E18" s="69"/>
      <c r="F18" s="69"/>
      <c r="G18" s="69"/>
      <c r="H18" s="69"/>
    </row>
    <row r="19" spans="1:11" ht="15">
      <c r="A19" s="69"/>
      <c r="B19" s="69"/>
      <c r="C19" s="69"/>
      <c r="D19" s="69"/>
      <c r="E19" s="69"/>
      <c r="F19" s="69"/>
      <c r="G19" s="69"/>
      <c r="H19" s="69"/>
    </row>
    <row r="20" spans="1:11" ht="15">
      <c r="A20" s="69"/>
      <c r="B20" s="69"/>
      <c r="C20" s="69"/>
      <c r="D20" s="69"/>
      <c r="E20" s="69"/>
      <c r="F20" s="69"/>
      <c r="G20" s="69"/>
      <c r="H20" s="69"/>
      <c r="K20">
        <v>22343.509999999995</v>
      </c>
    </row>
    <row r="21" spans="1:11" ht="15">
      <c r="A21" s="69"/>
      <c r="B21" s="69"/>
      <c r="C21" s="69"/>
      <c r="D21" s="69"/>
      <c r="E21" s="69"/>
      <c r="F21" s="69"/>
      <c r="G21" s="69"/>
      <c r="H21" s="69"/>
    </row>
    <row r="22" spans="1:11" ht="15">
      <c r="A22" s="69"/>
      <c r="B22" s="69"/>
      <c r="C22" s="69"/>
      <c r="D22" s="69"/>
      <c r="E22" s="69"/>
      <c r="F22" s="69"/>
      <c r="G22" s="69"/>
      <c r="H22" s="69"/>
    </row>
    <row r="23" spans="1:11">
      <c r="A23" s="2"/>
      <c r="B23" s="2"/>
      <c r="C23" s="2"/>
      <c r="D23" s="2"/>
      <c r="E23" s="2"/>
      <c r="F23" s="2"/>
      <c r="G23" s="2"/>
      <c r="H23" s="2"/>
    </row>
    <row r="24" spans="1:11">
      <c r="A24" s="2"/>
      <c r="B24" s="2"/>
      <c r="C24" s="2"/>
      <c r="D24" s="2"/>
      <c r="E24" s="2"/>
      <c r="F24" s="2"/>
      <c r="G24" s="2"/>
      <c r="H24" s="2"/>
    </row>
    <row r="25" spans="1:11">
      <c r="A25" s="2"/>
      <c r="B25" s="2"/>
      <c r="C25" s="2"/>
      <c r="D25" s="2"/>
      <c r="E25" s="2"/>
      <c r="F25" s="2"/>
      <c r="G25" s="2"/>
      <c r="H25" s="2"/>
    </row>
    <row r="26" spans="1:11">
      <c r="A26" s="2"/>
      <c r="B26" s="2"/>
      <c r="C26" s="2"/>
      <c r="D26" s="2"/>
      <c r="E26" s="2"/>
      <c r="F26" s="2"/>
      <c r="G26" s="2"/>
      <c r="H26" s="2"/>
    </row>
    <row r="27" spans="1:11">
      <c r="A27" s="2"/>
      <c r="B27" s="2"/>
      <c r="C27" s="2"/>
      <c r="D27" s="2"/>
      <c r="E27" s="2"/>
      <c r="F27" s="2"/>
      <c r="G27" s="2"/>
      <c r="H27" s="2"/>
    </row>
    <row r="28" spans="1:11">
      <c r="A28" s="2"/>
      <c r="B28" s="2"/>
      <c r="C28" s="2"/>
      <c r="D28" s="2"/>
      <c r="E28" s="2"/>
      <c r="F28" s="2"/>
      <c r="G28" s="2"/>
      <c r="H28" s="2"/>
    </row>
    <row r="29" spans="1:11">
      <c r="A29" s="2"/>
      <c r="B29" s="2"/>
      <c r="C29" s="2"/>
      <c r="D29" s="2"/>
      <c r="E29" s="2"/>
      <c r="F29" s="2"/>
      <c r="G29" s="2"/>
      <c r="H29" s="2"/>
    </row>
    <row r="30" spans="1:11">
      <c r="A30" s="2"/>
      <c r="B30" s="2"/>
      <c r="C30" s="2"/>
      <c r="D30" s="2"/>
      <c r="E30" s="2"/>
      <c r="F30" s="2"/>
      <c r="G30" s="2"/>
      <c r="H30" s="2"/>
    </row>
    <row r="31" spans="1:11">
      <c r="A31" s="2"/>
      <c r="B31" s="2"/>
      <c r="C31" s="2"/>
      <c r="D31" s="2"/>
      <c r="E31" s="2"/>
      <c r="F31" s="2"/>
      <c r="G31" s="2"/>
      <c r="H31" s="2"/>
    </row>
    <row r="32" spans="1:11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</sheetData>
  <pageMargins left="1.7" right="0.7" top="0.75" bottom="0.75" header="0.3" footer="0.3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Levies  interest</vt:lpstr>
      <vt:lpstr>Reconciliation</vt:lpstr>
      <vt:lpstr>Diff in tons </vt:lpstr>
      <vt:lpstr>Sheet3</vt:lpstr>
      <vt:lpstr>levies  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minsec2</cp:lastModifiedBy>
  <cp:lastPrinted>2015-08-25T23:17:43Z</cp:lastPrinted>
  <dcterms:created xsi:type="dcterms:W3CDTF">1996-10-14T23:33:28Z</dcterms:created>
  <dcterms:modified xsi:type="dcterms:W3CDTF">2016-03-07T18:04:51Z</dcterms:modified>
</cp:coreProperties>
</file>